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keting\Pubblica\Marketing Imprese\2017\"/>
    </mc:Choice>
  </mc:AlternateContent>
  <bookViews>
    <workbookView xWindow="0" yWindow="0" windowWidth="28800" windowHeight="12435" activeTab="3"/>
  </bookViews>
  <sheets>
    <sheet name="Iper ammTo Acquisto (250%)" sheetId="10" r:id="rId1"/>
    <sheet name="Iper ammTo Leasing (250%)" sheetId="9" r:id="rId2"/>
    <sheet name="SuperAll_B Acquisto(140%) " sheetId="6" r:id="rId3"/>
    <sheet name="SuperAll_B Leasing (140%) " sheetId="8" r:id="rId4"/>
    <sheet name="Elenchi" sheetId="5" state="hidden" r:id="rId5"/>
  </sheets>
  <definedNames>
    <definedName name="_xlnm.Print_Area" localSheetId="0">'Iper ammTo Acquisto (250%)'!$A$1:$I$49</definedName>
    <definedName name="_xlnm.Print_Area" localSheetId="1">'Iper ammTo Leasing (250%)'!$A$1:$I$68</definedName>
    <definedName name="_xlnm.Print_Area" localSheetId="2">'SuperAll_B Acquisto(140%) '!$A$1:$I$49</definedName>
    <definedName name="_xlnm.Print_Area" localSheetId="3">'SuperAll_B Leasing (140%) '!$A$1:$I$67</definedName>
    <definedName name="mezza_aliquota_primo_anno">Elenchi!$A$1:$A$2</definedName>
  </definedNames>
  <calcPr calcId="152511"/>
</workbook>
</file>

<file path=xl/calcChain.xml><?xml version="1.0" encoding="utf-8"?>
<calcChain xmlns="http://schemas.openxmlformats.org/spreadsheetml/2006/main">
  <c r="B18" i="6" l="1"/>
  <c r="B7" i="10"/>
  <c r="H17" i="10" s="1"/>
  <c r="H33" i="10"/>
  <c r="C34" i="10" s="1"/>
  <c r="B18" i="10"/>
  <c r="D34" i="10" s="1"/>
  <c r="D18" i="10" l="1"/>
  <c r="C18" i="10"/>
  <c r="E34" i="10"/>
  <c r="B34" i="10"/>
  <c r="B19" i="10"/>
  <c r="B35" i="10" l="1"/>
  <c r="F34" i="10"/>
  <c r="G34" i="10" s="1"/>
  <c r="H34" i="10" s="1"/>
  <c r="I34" i="10"/>
  <c r="D35" i="10"/>
  <c r="B20" i="10"/>
  <c r="D19" i="10"/>
  <c r="E18" i="10"/>
  <c r="I18" i="10" s="1"/>
  <c r="B34" i="6"/>
  <c r="D18" i="6"/>
  <c r="B21" i="9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B13" i="9"/>
  <c r="B14" i="9" s="1"/>
  <c r="B7" i="9"/>
  <c r="H52" i="9" s="1"/>
  <c r="B22" i="9" l="1"/>
  <c r="B23" i="9" s="1"/>
  <c r="B10" i="9"/>
  <c r="H36" i="9" s="1"/>
  <c r="C37" i="9" s="1"/>
  <c r="F18" i="10"/>
  <c r="G18" i="10" s="1"/>
  <c r="H18" i="10" s="1"/>
  <c r="D36" i="10"/>
  <c r="B21" i="10"/>
  <c r="D20" i="10"/>
  <c r="C35" i="10"/>
  <c r="E35" i="10" s="1"/>
  <c r="B36" i="10"/>
  <c r="C53" i="9"/>
  <c r="B15" i="9"/>
  <c r="B37" i="9" s="1"/>
  <c r="B24" i="9"/>
  <c r="B8" i="9"/>
  <c r="B9" i="9" s="1"/>
  <c r="B13" i="8"/>
  <c r="B14" i="8" s="1"/>
  <c r="B21" i="8"/>
  <c r="F21" i="8" s="1"/>
  <c r="C22" i="9" l="1"/>
  <c r="D22" i="9" s="1"/>
  <c r="E22" i="9" s="1"/>
  <c r="C21" i="9"/>
  <c r="D21" i="9" s="1"/>
  <c r="E21" i="9" s="1"/>
  <c r="I35" i="10"/>
  <c r="F35" i="10"/>
  <c r="G35" i="10" s="1"/>
  <c r="H35" i="10" s="1"/>
  <c r="D37" i="10"/>
  <c r="B22" i="10"/>
  <c r="D21" i="10"/>
  <c r="B37" i="10"/>
  <c r="C19" i="10"/>
  <c r="B25" i="9"/>
  <c r="C24" i="9"/>
  <c r="D24" i="9" s="1"/>
  <c r="D37" i="9"/>
  <c r="D53" i="9" s="1"/>
  <c r="E53" i="9" s="1"/>
  <c r="B38" i="9"/>
  <c r="B53" i="9"/>
  <c r="G22" i="9"/>
  <c r="I22" i="9" s="1"/>
  <c r="C23" i="9"/>
  <c r="D23" i="9" s="1"/>
  <c r="B22" i="8"/>
  <c r="B15" i="8"/>
  <c r="B7" i="8"/>
  <c r="G21" i="9" l="1"/>
  <c r="I21" i="9" s="1"/>
  <c r="B37" i="8"/>
  <c r="D37" i="8" s="1"/>
  <c r="D53" i="8" s="1"/>
  <c r="C36" i="10"/>
  <c r="D38" i="10"/>
  <c r="D22" i="10"/>
  <c r="B23" i="10"/>
  <c r="B38" i="10"/>
  <c r="E19" i="10"/>
  <c r="D38" i="9"/>
  <c r="D54" i="9" s="1"/>
  <c r="B39" i="9"/>
  <c r="I53" i="9"/>
  <c r="E24" i="9"/>
  <c r="G24" i="9"/>
  <c r="I24" i="9" s="1"/>
  <c r="B54" i="9"/>
  <c r="F53" i="9"/>
  <c r="G53" i="9" s="1"/>
  <c r="H53" i="9" s="1"/>
  <c r="C54" i="9" s="1"/>
  <c r="E37" i="9"/>
  <c r="B26" i="9"/>
  <c r="C25" i="9"/>
  <c r="D25" i="9" s="1"/>
  <c r="E23" i="9"/>
  <c r="G23" i="9"/>
  <c r="I23" i="9" s="1"/>
  <c r="H52" i="8"/>
  <c r="B10" i="8"/>
  <c r="H36" i="8" s="1"/>
  <c r="C37" i="8" s="1"/>
  <c r="B8" i="8"/>
  <c r="C21" i="8" s="1"/>
  <c r="G21" i="8" s="1"/>
  <c r="I21" i="8" s="1"/>
  <c r="B23" i="8"/>
  <c r="B53" i="8" l="1"/>
  <c r="C22" i="8"/>
  <c r="G22" i="8" s="1"/>
  <c r="I22" i="8" s="1"/>
  <c r="E36" i="10"/>
  <c r="I19" i="10"/>
  <c r="F19" i="10"/>
  <c r="G19" i="10" s="1"/>
  <c r="H19" i="10" s="1"/>
  <c r="D39" i="10"/>
  <c r="D23" i="10"/>
  <c r="B24" i="10"/>
  <c r="B39" i="10"/>
  <c r="C26" i="9"/>
  <c r="D26" i="9" s="1"/>
  <c r="B27" i="9"/>
  <c r="D39" i="9"/>
  <c r="D55" i="9" s="1"/>
  <c r="B40" i="9"/>
  <c r="I37" i="9"/>
  <c r="F37" i="9"/>
  <c r="G37" i="9" s="1"/>
  <c r="H37" i="9" s="1"/>
  <c r="E25" i="9"/>
  <c r="G25" i="9"/>
  <c r="B55" i="9"/>
  <c r="C23" i="8"/>
  <c r="G23" i="8" s="1"/>
  <c r="I23" i="8" s="1"/>
  <c r="B9" i="8"/>
  <c r="D21" i="8"/>
  <c r="E21" i="8" s="1"/>
  <c r="B24" i="8"/>
  <c r="C24" i="8" s="1"/>
  <c r="G24" i="8" s="1"/>
  <c r="I24" i="8" s="1"/>
  <c r="D22" i="8" l="1"/>
  <c r="E22" i="8" s="1"/>
  <c r="C20" i="10"/>
  <c r="E20" i="10"/>
  <c r="B40" i="10"/>
  <c r="I36" i="10"/>
  <c r="F36" i="10"/>
  <c r="G36" i="10" s="1"/>
  <c r="H36" i="10" s="1"/>
  <c r="D40" i="10"/>
  <c r="B25" i="10"/>
  <c r="D24" i="10"/>
  <c r="B56" i="9"/>
  <c r="I25" i="9"/>
  <c r="G26" i="9"/>
  <c r="I26" i="9" s="1"/>
  <c r="E26" i="9"/>
  <c r="C27" i="9"/>
  <c r="D27" i="9" s="1"/>
  <c r="B28" i="9"/>
  <c r="E54" i="9"/>
  <c r="C38" i="9"/>
  <c r="E38" i="9" s="1"/>
  <c r="D40" i="9"/>
  <c r="D56" i="9" s="1"/>
  <c r="B41" i="9"/>
  <c r="D23" i="8"/>
  <c r="E23" i="8" s="1"/>
  <c r="D24" i="8"/>
  <c r="E24" i="8" s="1"/>
  <c r="B25" i="8"/>
  <c r="C25" i="8" s="1"/>
  <c r="I20" i="10" l="1"/>
  <c r="F20" i="10"/>
  <c r="G20" i="10" s="1"/>
  <c r="H20" i="10" s="1"/>
  <c r="C37" i="10"/>
  <c r="D41" i="10"/>
  <c r="B26" i="10"/>
  <c r="D25" i="10"/>
  <c r="B41" i="10"/>
  <c r="I38" i="9"/>
  <c r="F38" i="9"/>
  <c r="G38" i="9" s="1"/>
  <c r="H38" i="9" s="1"/>
  <c r="D41" i="9"/>
  <c r="D57" i="9" s="1"/>
  <c r="B42" i="9"/>
  <c r="I54" i="9"/>
  <c r="F54" i="9"/>
  <c r="G54" i="9" s="1"/>
  <c r="H54" i="9" s="1"/>
  <c r="B29" i="9"/>
  <c r="C28" i="9"/>
  <c r="D28" i="9" s="1"/>
  <c r="E27" i="9"/>
  <c r="G27" i="9"/>
  <c r="I27" i="9" s="1"/>
  <c r="B57" i="9"/>
  <c r="G25" i="8"/>
  <c r="D25" i="8"/>
  <c r="E25" i="8" s="1"/>
  <c r="B26" i="8"/>
  <c r="C26" i="8" s="1"/>
  <c r="D42" i="10" l="1"/>
  <c r="D26" i="10"/>
  <c r="B27" i="10"/>
  <c r="B42" i="10"/>
  <c r="C21" i="10"/>
  <c r="E37" i="10"/>
  <c r="B58" i="9"/>
  <c r="B30" i="9"/>
  <c r="C29" i="9"/>
  <c r="D29" i="9" s="1"/>
  <c r="C55" i="9"/>
  <c r="D42" i="9"/>
  <c r="D58" i="9" s="1"/>
  <c r="B43" i="9"/>
  <c r="C39" i="9"/>
  <c r="E39" i="9" s="1"/>
  <c r="E28" i="9"/>
  <c r="G28" i="9"/>
  <c r="I28" i="9" s="1"/>
  <c r="G26" i="8"/>
  <c r="I26" i="8" s="1"/>
  <c r="D26" i="8"/>
  <c r="E26" i="8" s="1"/>
  <c r="I25" i="8"/>
  <c r="B27" i="8"/>
  <c r="C27" i="8" s="1"/>
  <c r="D43" i="10" l="1"/>
  <c r="B28" i="10"/>
  <c r="D27" i="10"/>
  <c r="I37" i="10"/>
  <c r="F37" i="10"/>
  <c r="G37" i="10" s="1"/>
  <c r="H37" i="10" s="1"/>
  <c r="E21" i="10"/>
  <c r="B43" i="10"/>
  <c r="C30" i="9"/>
  <c r="D30" i="9" s="1"/>
  <c r="B31" i="9"/>
  <c r="C31" i="9" s="1"/>
  <c r="D31" i="9" s="1"/>
  <c r="I39" i="9"/>
  <c r="F39" i="9"/>
  <c r="G39" i="9" s="1"/>
  <c r="H39" i="9" s="1"/>
  <c r="E55" i="9"/>
  <c r="D43" i="9"/>
  <c r="D59" i="9" s="1"/>
  <c r="B44" i="9"/>
  <c r="B59" i="9"/>
  <c r="E29" i="9"/>
  <c r="G29" i="9"/>
  <c r="I29" i="9" s="1"/>
  <c r="G27" i="8"/>
  <c r="I27" i="8" s="1"/>
  <c r="D27" i="8"/>
  <c r="E27" i="8" s="1"/>
  <c r="B28" i="8"/>
  <c r="C28" i="8" s="1"/>
  <c r="C38" i="10" l="1"/>
  <c r="E38" i="10" s="1"/>
  <c r="D44" i="10"/>
  <c r="D28" i="10"/>
  <c r="B44" i="10"/>
  <c r="I21" i="10"/>
  <c r="F21" i="10"/>
  <c r="G21" i="10" s="1"/>
  <c r="H21" i="10" s="1"/>
  <c r="B60" i="9"/>
  <c r="C40" i="9"/>
  <c r="E40" i="9" s="1"/>
  <c r="I55" i="9"/>
  <c r="F55" i="9"/>
  <c r="G55" i="9" s="1"/>
  <c r="H55" i="9" s="1"/>
  <c r="E31" i="9"/>
  <c r="G31" i="9"/>
  <c r="C32" i="9"/>
  <c r="D44" i="9"/>
  <c r="D60" i="9" s="1"/>
  <c r="B45" i="9"/>
  <c r="G30" i="9"/>
  <c r="I30" i="9" s="1"/>
  <c r="E30" i="9"/>
  <c r="G28" i="8"/>
  <c r="I28" i="8" s="1"/>
  <c r="D28" i="8"/>
  <c r="E28" i="8" s="1"/>
  <c r="B29" i="8"/>
  <c r="C29" i="8" s="1"/>
  <c r="I38" i="10" l="1"/>
  <c r="F38" i="10"/>
  <c r="G38" i="10" s="1"/>
  <c r="H38" i="10" s="1"/>
  <c r="C22" i="10"/>
  <c r="I40" i="9"/>
  <c r="F40" i="9"/>
  <c r="G40" i="9" s="1"/>
  <c r="H40" i="9" s="1"/>
  <c r="C56" i="9"/>
  <c r="E56" i="9" s="1"/>
  <c r="I31" i="9"/>
  <c r="I32" i="9" s="1"/>
  <c r="G32" i="9"/>
  <c r="D45" i="9"/>
  <c r="D61" i="9" s="1"/>
  <c r="B46" i="9"/>
  <c r="E32" i="9"/>
  <c r="B61" i="9"/>
  <c r="G29" i="8"/>
  <c r="I29" i="8" s="1"/>
  <c r="D29" i="8"/>
  <c r="E29" i="8" s="1"/>
  <c r="B30" i="8"/>
  <c r="C30" i="8" s="1"/>
  <c r="E22" i="10" l="1"/>
  <c r="C39" i="10"/>
  <c r="I56" i="9"/>
  <c r="F56" i="9"/>
  <c r="G56" i="9" s="1"/>
  <c r="H56" i="9" s="1"/>
  <c r="D46" i="9"/>
  <c r="D62" i="9" s="1"/>
  <c r="B47" i="9"/>
  <c r="C41" i="9"/>
  <c r="E41" i="9" s="1"/>
  <c r="B62" i="9"/>
  <c r="G30" i="8"/>
  <c r="I30" i="8" s="1"/>
  <c r="D30" i="8"/>
  <c r="E30" i="8" s="1"/>
  <c r="B31" i="8"/>
  <c r="C31" i="8" s="1"/>
  <c r="E39" i="10" l="1"/>
  <c r="I22" i="10"/>
  <c r="F22" i="10"/>
  <c r="G22" i="10" s="1"/>
  <c r="H22" i="10" s="1"/>
  <c r="C57" i="9"/>
  <c r="I41" i="9"/>
  <c r="F41" i="9"/>
  <c r="G41" i="9" s="1"/>
  <c r="H41" i="9" s="1"/>
  <c r="B63" i="9"/>
  <c r="D47" i="9"/>
  <c r="D63" i="9" s="1"/>
  <c r="G31" i="8"/>
  <c r="D31" i="8"/>
  <c r="E31" i="8" s="1"/>
  <c r="C32" i="8"/>
  <c r="C23" i="10" l="1"/>
  <c r="E23" i="10" s="1"/>
  <c r="I39" i="10"/>
  <c r="F39" i="10"/>
  <c r="G39" i="10" s="1"/>
  <c r="H39" i="10" s="1"/>
  <c r="C42" i="9"/>
  <c r="E42" i="9"/>
  <c r="E57" i="9"/>
  <c r="I31" i="8"/>
  <c r="G32" i="8"/>
  <c r="I23" i="10" l="1"/>
  <c r="F23" i="10"/>
  <c r="G23" i="10" s="1"/>
  <c r="H23" i="10" s="1"/>
  <c r="C40" i="10"/>
  <c r="E40" i="10" s="1"/>
  <c r="I42" i="9"/>
  <c r="F42" i="9"/>
  <c r="G42" i="9" s="1"/>
  <c r="H42" i="9" s="1"/>
  <c r="I57" i="9"/>
  <c r="F57" i="9"/>
  <c r="G57" i="9" s="1"/>
  <c r="H57" i="9" s="1"/>
  <c r="F22" i="8"/>
  <c r="I40" i="10" l="1"/>
  <c r="F40" i="10"/>
  <c r="G40" i="10" s="1"/>
  <c r="H40" i="10" s="1"/>
  <c r="C24" i="10"/>
  <c r="E24" i="10" s="1"/>
  <c r="C43" i="9"/>
  <c r="E43" i="9"/>
  <c r="C58" i="9"/>
  <c r="F23" i="8"/>
  <c r="I24" i="10" l="1"/>
  <c r="F24" i="10"/>
  <c r="G24" i="10" s="1"/>
  <c r="H24" i="10" s="1"/>
  <c r="C41" i="10"/>
  <c r="E41" i="10" s="1"/>
  <c r="I43" i="9"/>
  <c r="F43" i="9"/>
  <c r="G43" i="9" s="1"/>
  <c r="H43" i="9" s="1"/>
  <c r="E58" i="9"/>
  <c r="F24" i="8"/>
  <c r="E32" i="8"/>
  <c r="I41" i="10" l="1"/>
  <c r="F41" i="10"/>
  <c r="G41" i="10" s="1"/>
  <c r="H41" i="10" s="1"/>
  <c r="C25" i="10"/>
  <c r="E25" i="10" s="1"/>
  <c r="C44" i="9"/>
  <c r="E44" i="9"/>
  <c r="I58" i="9"/>
  <c r="F58" i="9"/>
  <c r="G58" i="9" s="1"/>
  <c r="H58" i="9" s="1"/>
  <c r="F25" i="8"/>
  <c r="I32" i="8"/>
  <c r="I25" i="10" l="1"/>
  <c r="F25" i="10"/>
  <c r="G25" i="10" s="1"/>
  <c r="H25" i="10" s="1"/>
  <c r="C42" i="10"/>
  <c r="C59" i="9"/>
  <c r="I44" i="9"/>
  <c r="F44" i="9"/>
  <c r="G44" i="9" s="1"/>
  <c r="H44" i="9" s="1"/>
  <c r="F26" i="8"/>
  <c r="C26" i="10" l="1"/>
  <c r="E42" i="10"/>
  <c r="C45" i="9"/>
  <c r="E45" i="9" s="1"/>
  <c r="E59" i="9"/>
  <c r="F27" i="8"/>
  <c r="I42" i="10" l="1"/>
  <c r="F42" i="10"/>
  <c r="G42" i="10" s="1"/>
  <c r="H42" i="10" s="1"/>
  <c r="E26" i="10"/>
  <c r="I45" i="9"/>
  <c r="F45" i="9"/>
  <c r="G45" i="9" s="1"/>
  <c r="H45" i="9" s="1"/>
  <c r="I59" i="9"/>
  <c r="F59" i="9"/>
  <c r="G59" i="9" s="1"/>
  <c r="H59" i="9" s="1"/>
  <c r="F28" i="8"/>
  <c r="I26" i="10" l="1"/>
  <c r="F26" i="10"/>
  <c r="G26" i="10" s="1"/>
  <c r="H26" i="10" s="1"/>
  <c r="C43" i="10"/>
  <c r="C46" i="9"/>
  <c r="E46" i="9" s="1"/>
  <c r="C60" i="9"/>
  <c r="F29" i="8"/>
  <c r="E43" i="10" l="1"/>
  <c r="C27" i="10"/>
  <c r="E27" i="10" s="1"/>
  <c r="I46" i="9"/>
  <c r="F46" i="9"/>
  <c r="G46" i="9" s="1"/>
  <c r="H46" i="9" s="1"/>
  <c r="E60" i="9"/>
  <c r="F30" i="8"/>
  <c r="I27" i="10" l="1"/>
  <c r="F27" i="10"/>
  <c r="G27" i="10" s="1"/>
  <c r="H27" i="10" s="1"/>
  <c r="I43" i="10"/>
  <c r="F43" i="10"/>
  <c r="G43" i="10" s="1"/>
  <c r="H43" i="10" s="1"/>
  <c r="C47" i="9"/>
  <c r="E47" i="9" s="1"/>
  <c r="I60" i="9"/>
  <c r="F60" i="9"/>
  <c r="G60" i="9" s="1"/>
  <c r="H60" i="9" s="1"/>
  <c r="F31" i="8"/>
  <c r="C28" i="10" l="1"/>
  <c r="E28" i="10" s="1"/>
  <c r="C44" i="10"/>
  <c r="E44" i="10" s="1"/>
  <c r="C61" i="9"/>
  <c r="I47" i="9"/>
  <c r="I48" i="9" s="1"/>
  <c r="E48" i="9"/>
  <c r="F47" i="9"/>
  <c r="G47" i="9" s="1"/>
  <c r="H47" i="9" s="1"/>
  <c r="B54" i="8"/>
  <c r="B55" i="8" s="1"/>
  <c r="C53" i="8"/>
  <c r="I44" i="10" l="1"/>
  <c r="I45" i="10" s="1"/>
  <c r="F44" i="10"/>
  <c r="G44" i="10" s="1"/>
  <c r="H44" i="10" s="1"/>
  <c r="E45" i="10"/>
  <c r="I28" i="10"/>
  <c r="I29" i="10" s="1"/>
  <c r="F28" i="10"/>
  <c r="G28" i="10" s="1"/>
  <c r="H28" i="10" s="1"/>
  <c r="E29" i="10"/>
  <c r="E61" i="9"/>
  <c r="E37" i="8"/>
  <c r="I37" i="8" s="1"/>
  <c r="B56" i="8"/>
  <c r="B38" i="8"/>
  <c r="E53" i="8"/>
  <c r="B35" i="6"/>
  <c r="B36" i="6" s="1"/>
  <c r="H33" i="6"/>
  <c r="C34" i="6" s="1"/>
  <c r="D34" i="6"/>
  <c r="B7" i="6"/>
  <c r="H17" i="6" s="1"/>
  <c r="D38" i="8" l="1"/>
  <c r="D54" i="8" s="1"/>
  <c r="B47" i="10"/>
  <c r="B49" i="10" s="1"/>
  <c r="E34" i="6"/>
  <c r="I34" i="6" s="1"/>
  <c r="I53" i="8"/>
  <c r="F37" i="8"/>
  <c r="G37" i="8" s="1"/>
  <c r="H37" i="8" s="1"/>
  <c r="I61" i="9"/>
  <c r="F61" i="9"/>
  <c r="G61" i="9" s="1"/>
  <c r="H61" i="9" s="1"/>
  <c r="B57" i="8"/>
  <c r="F53" i="8"/>
  <c r="G53" i="8" s="1"/>
  <c r="H53" i="8" s="1"/>
  <c r="B39" i="8"/>
  <c r="D39" i="8" s="1"/>
  <c r="D55" i="8" s="1"/>
  <c r="C18" i="6"/>
  <c r="B37" i="6"/>
  <c r="B19" i="6"/>
  <c r="D19" i="6" l="1"/>
  <c r="D35" i="6"/>
  <c r="C62" i="9"/>
  <c r="C38" i="8"/>
  <c r="E38" i="8" s="1"/>
  <c r="I38" i="8" s="1"/>
  <c r="B40" i="8"/>
  <c r="D40" i="8" s="1"/>
  <c r="D56" i="8" s="1"/>
  <c r="C54" i="8"/>
  <c r="E54" i="8" s="1"/>
  <c r="B58" i="8"/>
  <c r="F34" i="6"/>
  <c r="G34" i="6" s="1"/>
  <c r="H34" i="6" s="1"/>
  <c r="B20" i="6"/>
  <c r="B38" i="6"/>
  <c r="E18" i="6"/>
  <c r="I18" i="6" s="1"/>
  <c r="D20" i="6" l="1"/>
  <c r="D36" i="6"/>
  <c r="I54" i="8"/>
  <c r="E62" i="9"/>
  <c r="F54" i="8"/>
  <c r="G54" i="8" s="1"/>
  <c r="H54" i="8" s="1"/>
  <c r="B41" i="8"/>
  <c r="D41" i="8" s="1"/>
  <c r="D57" i="8" s="1"/>
  <c r="F38" i="8"/>
  <c r="G38" i="8" s="1"/>
  <c r="H38" i="8" s="1"/>
  <c r="B59" i="8"/>
  <c r="B21" i="6"/>
  <c r="C35" i="6"/>
  <c r="E35" i="6" s="1"/>
  <c r="I35" i="6" s="1"/>
  <c r="F18" i="6"/>
  <c r="G18" i="6" s="1"/>
  <c r="H18" i="6" s="1"/>
  <c r="B39" i="6"/>
  <c r="D21" i="6" l="1"/>
  <c r="D37" i="6"/>
  <c r="I62" i="9"/>
  <c r="F62" i="9"/>
  <c r="G62" i="9" s="1"/>
  <c r="H62" i="9" s="1"/>
  <c r="C39" i="8"/>
  <c r="E39" i="8" s="1"/>
  <c r="I39" i="8" s="1"/>
  <c r="C55" i="8"/>
  <c r="E55" i="8" s="1"/>
  <c r="B60" i="8"/>
  <c r="B42" i="8"/>
  <c r="D42" i="8" s="1"/>
  <c r="D58" i="8" s="1"/>
  <c r="C19" i="6"/>
  <c r="F35" i="6"/>
  <c r="G35" i="6" s="1"/>
  <c r="H35" i="6" s="1"/>
  <c r="C36" i="6" s="1"/>
  <c r="B40" i="6"/>
  <c r="B22" i="6"/>
  <c r="D22" i="6" l="1"/>
  <c r="D38" i="6"/>
  <c r="I55" i="8"/>
  <c r="C63" i="9"/>
  <c r="B61" i="8"/>
  <c r="F39" i="8"/>
  <c r="G39" i="8" s="1"/>
  <c r="H39" i="8" s="1"/>
  <c r="B43" i="8"/>
  <c r="D43" i="8" s="1"/>
  <c r="D59" i="8" s="1"/>
  <c r="F55" i="8"/>
  <c r="G55" i="8" s="1"/>
  <c r="H55" i="8" s="1"/>
  <c r="E36" i="6"/>
  <c r="I36" i="6" s="1"/>
  <c r="B41" i="6"/>
  <c r="B23" i="6"/>
  <c r="E19" i="6"/>
  <c r="I19" i="6" s="1"/>
  <c r="D23" i="6" l="1"/>
  <c r="D39" i="6"/>
  <c r="E63" i="9"/>
  <c r="C56" i="8"/>
  <c r="E56" i="8" s="1"/>
  <c r="C40" i="8"/>
  <c r="E40" i="8" s="1"/>
  <c r="I40" i="8" s="1"/>
  <c r="B62" i="8"/>
  <c r="B44" i="8"/>
  <c r="D44" i="8" s="1"/>
  <c r="D60" i="8" s="1"/>
  <c r="B24" i="6"/>
  <c r="F19" i="6"/>
  <c r="G19" i="6" s="1"/>
  <c r="H19" i="6" s="1"/>
  <c r="B42" i="6"/>
  <c r="D24" i="6" l="1"/>
  <c r="D40" i="6"/>
  <c r="I56" i="8"/>
  <c r="I63" i="9"/>
  <c r="I64" i="9" s="1"/>
  <c r="B66" i="9" s="1"/>
  <c r="B68" i="9" s="1"/>
  <c r="F63" i="9"/>
  <c r="G63" i="9" s="1"/>
  <c r="H63" i="9" s="1"/>
  <c r="E64" i="9"/>
  <c r="F56" i="8"/>
  <c r="G56" i="8" s="1"/>
  <c r="H56" i="8" s="1"/>
  <c r="F40" i="8"/>
  <c r="G40" i="8" s="1"/>
  <c r="H40" i="8" s="1"/>
  <c r="B45" i="8"/>
  <c r="D45" i="8" s="1"/>
  <c r="D61" i="8" s="1"/>
  <c r="B63" i="8"/>
  <c r="F36" i="6"/>
  <c r="G36" i="6" s="1"/>
  <c r="H36" i="6" s="1"/>
  <c r="B43" i="6"/>
  <c r="C20" i="6"/>
  <c r="E20" i="6" s="1"/>
  <c r="I20" i="6" s="1"/>
  <c r="B25" i="6"/>
  <c r="D25" i="6" l="1"/>
  <c r="D41" i="6"/>
  <c r="C41" i="8"/>
  <c r="E41" i="8" s="1"/>
  <c r="I41" i="8" s="1"/>
  <c r="C57" i="8"/>
  <c r="E57" i="8" s="1"/>
  <c r="B46" i="8"/>
  <c r="D46" i="8" s="1"/>
  <c r="D62" i="8" s="1"/>
  <c r="B26" i="6"/>
  <c r="F20" i="6"/>
  <c r="G20" i="6" s="1"/>
  <c r="H20" i="6" s="1"/>
  <c r="B44" i="6"/>
  <c r="C37" i="6"/>
  <c r="E37" i="6" s="1"/>
  <c r="I37" i="6" s="1"/>
  <c r="D26" i="6" l="1"/>
  <c r="D42" i="6"/>
  <c r="I57" i="8"/>
  <c r="F57" i="8"/>
  <c r="G57" i="8" s="1"/>
  <c r="H57" i="8" s="1"/>
  <c r="F41" i="8"/>
  <c r="G41" i="8" s="1"/>
  <c r="H41" i="8" s="1"/>
  <c r="B47" i="8"/>
  <c r="D47" i="8" s="1"/>
  <c r="D63" i="8" s="1"/>
  <c r="C21" i="6"/>
  <c r="B27" i="6"/>
  <c r="D27" i="6" l="1"/>
  <c r="D43" i="6"/>
  <c r="C42" i="8"/>
  <c r="E42" i="8" s="1"/>
  <c r="I42" i="8" s="1"/>
  <c r="C58" i="8"/>
  <c r="E58" i="8" s="1"/>
  <c r="I58" i="8" s="1"/>
  <c r="F37" i="6"/>
  <c r="G37" i="6" s="1"/>
  <c r="H37" i="6" s="1"/>
  <c r="B28" i="6"/>
  <c r="E21" i="6"/>
  <c r="I21" i="6" s="1"/>
  <c r="D28" i="6" l="1"/>
  <c r="D44" i="6"/>
  <c r="F58" i="8"/>
  <c r="G58" i="8" s="1"/>
  <c r="H58" i="8" s="1"/>
  <c r="F42" i="8"/>
  <c r="G42" i="8" s="1"/>
  <c r="H42" i="8" s="1"/>
  <c r="F21" i="6"/>
  <c r="G21" i="6" s="1"/>
  <c r="H21" i="6" s="1"/>
  <c r="C38" i="6"/>
  <c r="E38" i="6" s="1"/>
  <c r="I38" i="6" s="1"/>
  <c r="C43" i="8" l="1"/>
  <c r="E43" i="8" s="1"/>
  <c r="I43" i="8" s="1"/>
  <c r="C59" i="8"/>
  <c r="E59" i="8" s="1"/>
  <c r="I59" i="8" s="1"/>
  <c r="F38" i="6"/>
  <c r="G38" i="6" s="1"/>
  <c r="H38" i="6" s="1"/>
  <c r="C22" i="6"/>
  <c r="E22" i="6" s="1"/>
  <c r="I22" i="6" s="1"/>
  <c r="F59" i="8" l="1"/>
  <c r="G59" i="8" s="1"/>
  <c r="H59" i="8" s="1"/>
  <c r="F43" i="8"/>
  <c r="G43" i="8" s="1"/>
  <c r="H43" i="8" s="1"/>
  <c r="C39" i="6"/>
  <c r="E39" i="6" s="1"/>
  <c r="I39" i="6" s="1"/>
  <c r="F22" i="6"/>
  <c r="G22" i="6" s="1"/>
  <c r="H22" i="6" s="1"/>
  <c r="C44" i="8" l="1"/>
  <c r="E44" i="8" s="1"/>
  <c r="I44" i="8" s="1"/>
  <c r="C60" i="8"/>
  <c r="E60" i="8" s="1"/>
  <c r="I60" i="8" s="1"/>
  <c r="C23" i="6"/>
  <c r="F60" i="8" l="1"/>
  <c r="G60" i="8" s="1"/>
  <c r="H60" i="8" s="1"/>
  <c r="F44" i="8"/>
  <c r="G44" i="8" s="1"/>
  <c r="H44" i="8" s="1"/>
  <c r="F39" i="6"/>
  <c r="G39" i="6" s="1"/>
  <c r="H39" i="6" s="1"/>
  <c r="E23" i="6"/>
  <c r="I23" i="6" s="1"/>
  <c r="C61" i="8" l="1"/>
  <c r="E61" i="8" s="1"/>
  <c r="C45" i="8"/>
  <c r="E45" i="8" s="1"/>
  <c r="I45" i="8" s="1"/>
  <c r="F23" i="6"/>
  <c r="G23" i="6" s="1"/>
  <c r="H23" i="6" s="1"/>
  <c r="C40" i="6"/>
  <c r="E40" i="6" s="1"/>
  <c r="I40" i="6" s="1"/>
  <c r="F61" i="8" l="1"/>
  <c r="G61" i="8" s="1"/>
  <c r="H61" i="8" s="1"/>
  <c r="I61" i="8"/>
  <c r="F45" i="8"/>
  <c r="G45" i="8" s="1"/>
  <c r="H45" i="8" s="1"/>
  <c r="C24" i="6"/>
  <c r="E24" i="6" s="1"/>
  <c r="I24" i="6" s="1"/>
  <c r="C62" i="8" l="1"/>
  <c r="C46" i="8"/>
  <c r="E46" i="8" s="1"/>
  <c r="I46" i="8" s="1"/>
  <c r="F24" i="6"/>
  <c r="G24" i="6" s="1"/>
  <c r="H24" i="6" s="1"/>
  <c r="F40" i="6"/>
  <c r="G40" i="6" s="1"/>
  <c r="H40" i="6" s="1"/>
  <c r="F46" i="8" l="1"/>
  <c r="G46" i="8" s="1"/>
  <c r="H46" i="8" s="1"/>
  <c r="E62" i="8"/>
  <c r="C25" i="6"/>
  <c r="C41" i="6"/>
  <c r="F62" i="8" l="1"/>
  <c r="G62" i="8" s="1"/>
  <c r="H62" i="8" s="1"/>
  <c r="C63" i="8" s="1"/>
  <c r="I62" i="8"/>
  <c r="C47" i="8"/>
  <c r="E47" i="8" s="1"/>
  <c r="I47" i="8" s="1"/>
  <c r="E41" i="6"/>
  <c r="I41" i="6" s="1"/>
  <c r="E25" i="6"/>
  <c r="I25" i="6" s="1"/>
  <c r="E48" i="8" l="1"/>
  <c r="F47" i="8"/>
  <c r="G47" i="8" s="1"/>
  <c r="H47" i="8" s="1"/>
  <c r="I48" i="8"/>
  <c r="E63" i="8"/>
  <c r="F41" i="6"/>
  <c r="G41" i="6" s="1"/>
  <c r="H41" i="6" s="1"/>
  <c r="F25" i="6"/>
  <c r="G25" i="6" s="1"/>
  <c r="H25" i="6" s="1"/>
  <c r="I63" i="8" l="1"/>
  <c r="I64" i="8" s="1"/>
  <c r="B66" i="8" s="1"/>
  <c r="B67" i="8" s="1"/>
  <c r="E64" i="8"/>
  <c r="F63" i="8"/>
  <c r="G63" i="8" s="1"/>
  <c r="H63" i="8" s="1"/>
  <c r="C26" i="6"/>
  <c r="E26" i="6" s="1"/>
  <c r="I26" i="6" s="1"/>
  <c r="C42" i="6"/>
  <c r="F26" i="6" l="1"/>
  <c r="G26" i="6" s="1"/>
  <c r="H26" i="6" s="1"/>
  <c r="C27" i="6" s="1"/>
  <c r="E27" i="6" s="1"/>
  <c r="I27" i="6" s="1"/>
  <c r="E42" i="6"/>
  <c r="F42" i="6" l="1"/>
  <c r="G42" i="6" s="1"/>
  <c r="H42" i="6" s="1"/>
  <c r="C43" i="6" s="1"/>
  <c r="I42" i="6"/>
  <c r="F27" i="6"/>
  <c r="G27" i="6" s="1"/>
  <c r="H27" i="6" s="1"/>
  <c r="C28" i="6" l="1"/>
  <c r="E28" i="6" s="1"/>
  <c r="I28" i="6" s="1"/>
  <c r="E43" i="6"/>
  <c r="F43" i="6" l="1"/>
  <c r="G43" i="6" s="1"/>
  <c r="H43" i="6" s="1"/>
  <c r="C44" i="6" s="1"/>
  <c r="I43" i="6"/>
  <c r="E29" i="6"/>
  <c r="I29" i="6"/>
  <c r="F28" i="6"/>
  <c r="G28" i="6" s="1"/>
  <c r="H28" i="6" s="1"/>
  <c r="E44" i="6" l="1"/>
  <c r="I44" i="6" s="1"/>
  <c r="I45" i="6" s="1"/>
  <c r="B47" i="6" l="1"/>
  <c r="B49" i="6" s="1"/>
  <c r="F44" i="6"/>
  <c r="G44" i="6" s="1"/>
  <c r="H44" i="6" s="1"/>
  <c r="E45" i="6"/>
</calcChain>
</file>

<file path=xl/sharedStrings.xml><?xml version="1.0" encoding="utf-8"?>
<sst xmlns="http://schemas.openxmlformats.org/spreadsheetml/2006/main" count="174" uniqueCount="66">
  <si>
    <t>Costo Storico del bene:</t>
  </si>
  <si>
    <t>Costo Storico maggiorato del 40%:</t>
  </si>
  <si>
    <t>Aliquota ammortamento fiscale</t>
  </si>
  <si>
    <t>Data inizio ammortamento:</t>
  </si>
  <si>
    <t>Anno acquisto del bene:</t>
  </si>
  <si>
    <t>Aliquote IRES</t>
  </si>
  <si>
    <t>E' possibile modificare le celle in arancione</t>
  </si>
  <si>
    <t>Esercizio</t>
  </si>
  <si>
    <t>Costo storico</t>
  </si>
  <si>
    <t>Aliquota fiscale</t>
  </si>
  <si>
    <t>Amm.to fiscale</t>
  </si>
  <si>
    <t>Valore netto contabile</t>
  </si>
  <si>
    <t xml:space="preserve">Primo anno 1/2 aliquota </t>
  </si>
  <si>
    <t>si</t>
  </si>
  <si>
    <t>Fondo amm.to iniziale</t>
  </si>
  <si>
    <t>Fondo amm.to finale</t>
  </si>
  <si>
    <t>Costo Storico maggiorato del 150%:</t>
  </si>
  <si>
    <t>Costo storico+40%</t>
  </si>
  <si>
    <t>F.do amm.to iniziale</t>
  </si>
  <si>
    <t>TOT.</t>
  </si>
  <si>
    <t>Costo storico+150%</t>
  </si>
  <si>
    <t>no</t>
  </si>
  <si>
    <t xml:space="preserve">Deduzione </t>
  </si>
  <si>
    <t>Deduzione</t>
  </si>
  <si>
    <t>Vantaggio fiscale ottenuto con superammortamento</t>
  </si>
  <si>
    <t>Data inizio ammortamento riscatto:</t>
  </si>
  <si>
    <t>Piano di ammortamento Riscatto con "super ammortamento (140%)"</t>
  </si>
  <si>
    <t>Costo bene:</t>
  </si>
  <si>
    <t>Percentuale  riscatto</t>
  </si>
  <si>
    <t>Importo  riscatto</t>
  </si>
  <si>
    <t>Anno riscatto bene:</t>
  </si>
  <si>
    <t xml:space="preserve">Anno consegna bene in leasing: </t>
  </si>
  <si>
    <t>Durata leasing</t>
  </si>
  <si>
    <t>Importo riscatto maggiorato del 40%:</t>
  </si>
  <si>
    <t>Quote capitali maggiorate del 40%</t>
  </si>
  <si>
    <t>Quote capitali canoni leasing</t>
  </si>
  <si>
    <t>Quote capitali</t>
  </si>
  <si>
    <t>Prezzo Riscatto+40%</t>
  </si>
  <si>
    <t>Prezzo riscatto</t>
  </si>
  <si>
    <t>Quote capitali + 40%</t>
  </si>
  <si>
    <t>Primo anno 1/2 aliquota riscatto</t>
  </si>
  <si>
    <t>Aliquota IRES</t>
  </si>
  <si>
    <t>Quote capitali maggiorate del 150%</t>
  </si>
  <si>
    <t>Importo riscatto maggiorato del 150%:</t>
  </si>
  <si>
    <t>Quote capitali + 150%</t>
  </si>
  <si>
    <t>Prezzo Riscatto+150%</t>
  </si>
  <si>
    <t>CASO IPER AMMORTAMENTO LEASING</t>
  </si>
  <si>
    <t>Piano di ammortamento con "super ammortamento (140%)"</t>
  </si>
  <si>
    <t>Piano di ammortamento Riscatto con "Iper ammortamento (250%)"</t>
  </si>
  <si>
    <t>Piano di ammortamento con  "iper ammortamento (250%)"</t>
  </si>
  <si>
    <t>Vantaggio fiscale ottenuto con iperammortamento</t>
  </si>
  <si>
    <t>LEASING FINANZIARIO</t>
  </si>
  <si>
    <t>CASO IPER  AMMORTAMENTO ACQUISTO</t>
  </si>
  <si>
    <t>Ipotesi di acquisto cespite: Macchinario specifico</t>
  </si>
  <si>
    <t>CASO SUPER AMMORTAMENTO BENI IMMATERIALI LEASING FINANZIARIO</t>
  </si>
  <si>
    <t>CASO SUPER AMMORTAMENTO BENI IMMATERIALI ACQUISTO</t>
  </si>
  <si>
    <t>Elenco beni strumentali nuovi Industria 4.0</t>
  </si>
  <si>
    <t>Beni immateriali connessi a investimenti Industria 4.0</t>
  </si>
  <si>
    <t>Deduzione IRES</t>
  </si>
  <si>
    <t>Ammortamento Leasing con "iper ammortamento (250%)"</t>
  </si>
  <si>
    <t>Piano di ammortamento ordinario</t>
  </si>
  <si>
    <t>Ammortamento Leasing ordinario</t>
  </si>
  <si>
    <t>Piano di ammortamento ordinario riscatto</t>
  </si>
  <si>
    <t xml:space="preserve">Piano di ammortamento ordinario Leasing </t>
  </si>
  <si>
    <t>Ammortamento Leasing con "super ammortamento (140%)"</t>
  </si>
  <si>
    <t xml:space="preserve">Deduzione 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</si>
</sst>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;[Red]\(\-#,##0\);_-* &quot;-&quot;_-;_-@_-"/>
    <numFmt numFmtId="167" formatCode="#,##0.00;[Red]\(\-#,##0.00\)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4" xfId="0" applyBorder="1"/>
    <xf numFmtId="0" fontId="2" fillId="0" borderId="8" xfId="0" applyFont="1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0" fillId="0" borderId="0" xfId="0" applyNumberFormat="1"/>
    <xf numFmtId="0" fontId="0" fillId="2" borderId="0" xfId="0" applyFill="1"/>
    <xf numFmtId="0" fontId="2" fillId="0" borderId="1" xfId="0" applyFont="1" applyFill="1" applyBorder="1" applyAlignment="1">
      <alignment horizontal="center"/>
    </xf>
    <xf numFmtId="0" fontId="0" fillId="3" borderId="5" xfId="0" applyFill="1" applyBorder="1"/>
    <xf numFmtId="43" fontId="0" fillId="0" borderId="0" xfId="1" applyFont="1"/>
    <xf numFmtId="0" fontId="0" fillId="0" borderId="6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2" fillId="0" borderId="6" xfId="0" applyFont="1" applyBorder="1" applyAlignment="1">
      <alignment horizontal="left"/>
    </xf>
    <xf numFmtId="164" fontId="0" fillId="3" borderId="7" xfId="2" applyNumberFormat="1" applyFont="1" applyFill="1" applyBorder="1" applyAlignment="1">
      <alignment horizontal="right"/>
    </xf>
    <xf numFmtId="0" fontId="2" fillId="4" borderId="8" xfId="0" applyFont="1" applyFill="1" applyBorder="1" applyAlignment="1">
      <alignment horizontal="left" vertical="center" wrapText="1"/>
    </xf>
    <xf numFmtId="43" fontId="2" fillId="4" borderId="1" xfId="0" applyNumberFormat="1" applyFont="1" applyFill="1" applyBorder="1" applyAlignment="1">
      <alignment vertical="center"/>
    </xf>
    <xf numFmtId="9" fontId="0" fillId="0" borderId="0" xfId="2" applyFont="1" applyAlignment="1">
      <alignment vertical="center"/>
    </xf>
    <xf numFmtId="10" fontId="4" fillId="0" borderId="0" xfId="0" applyNumberFormat="1" applyFont="1" applyBorder="1"/>
    <xf numFmtId="0" fontId="2" fillId="0" borderId="0" xfId="0" applyFont="1"/>
    <xf numFmtId="3" fontId="0" fillId="3" borderId="5" xfId="0" applyNumberFormat="1" applyFill="1" applyBorder="1"/>
    <xf numFmtId="0" fontId="2" fillId="0" borderId="0" xfId="0" applyFont="1" applyBorder="1" applyAlignment="1">
      <alignment horizontal="left"/>
    </xf>
    <xf numFmtId="10" fontId="0" fillId="2" borderId="0" xfId="0" applyNumberFormat="1" applyFill="1" applyBorder="1"/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0" fillId="2" borderId="5" xfId="0" applyFill="1" applyBorder="1"/>
    <xf numFmtId="165" fontId="0" fillId="0" borderId="0" xfId="0" applyNumberFormat="1"/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5" fontId="0" fillId="0" borderId="13" xfId="1" applyNumberFormat="1" applyFont="1" applyBorder="1"/>
    <xf numFmtId="0" fontId="0" fillId="0" borderId="14" xfId="0" applyBorder="1"/>
    <xf numFmtId="165" fontId="0" fillId="0" borderId="15" xfId="0" applyNumberFormat="1" applyBorder="1"/>
    <xf numFmtId="0" fontId="2" fillId="0" borderId="15" xfId="0" applyFont="1" applyBorder="1" applyAlignment="1">
      <alignment horizontal="right"/>
    </xf>
    <xf numFmtId="165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0" fillId="0" borderId="12" xfId="0" applyNumberFormat="1" applyFill="1" applyBorder="1"/>
    <xf numFmtId="1" fontId="2" fillId="5" borderId="12" xfId="1" applyNumberFormat="1" applyFont="1" applyFill="1" applyBorder="1" applyAlignment="1">
      <alignment horizontal="center" vertical="center"/>
    </xf>
    <xf numFmtId="0" fontId="2" fillId="5" borderId="12" xfId="1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vertical="center"/>
    </xf>
    <xf numFmtId="9" fontId="0" fillId="0" borderId="0" xfId="2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43" fontId="2" fillId="0" borderId="15" xfId="0" applyNumberFormat="1" applyFont="1" applyBorder="1"/>
    <xf numFmtId="0" fontId="0" fillId="0" borderId="15" xfId="0" applyBorder="1"/>
    <xf numFmtId="0" fontId="2" fillId="0" borderId="15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" xfId="1" applyFont="1" applyBorder="1"/>
    <xf numFmtId="43" fontId="0" fillId="0" borderId="1" xfId="1" applyNumberFormat="1" applyFont="1" applyBorder="1"/>
    <xf numFmtId="43" fontId="2" fillId="0" borderId="16" xfId="0" applyNumberFormat="1" applyFont="1" applyBorder="1" applyAlignment="1">
      <alignment horizontal="center"/>
    </xf>
    <xf numFmtId="43" fontId="0" fillId="0" borderId="1" xfId="1" applyNumberFormat="1" applyFont="1" applyBorder="1" applyAlignment="1">
      <alignment horizontal="center"/>
    </xf>
    <xf numFmtId="43" fontId="0" fillId="0" borderId="13" xfId="1" applyNumberFormat="1" applyFont="1" applyBorder="1"/>
    <xf numFmtId="43" fontId="0" fillId="0" borderId="8" xfId="0" applyNumberFormat="1" applyBorder="1" applyAlignment="1">
      <alignment horizontal="center"/>
    </xf>
    <xf numFmtId="43" fontId="0" fillId="6" borderId="1" xfId="2" applyNumberFormat="1" applyFont="1" applyFill="1" applyBorder="1" applyAlignment="1">
      <alignment horizontal="center"/>
    </xf>
    <xf numFmtId="43" fontId="0" fillId="0" borderId="15" xfId="0" applyNumberFormat="1" applyBorder="1"/>
    <xf numFmtId="43" fontId="2" fillId="0" borderId="15" xfId="0" applyNumberFormat="1" applyFont="1" applyBorder="1" applyAlignment="1">
      <alignment horizontal="right"/>
    </xf>
    <xf numFmtId="43" fontId="2" fillId="0" borderId="16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166" fontId="0" fillId="5" borderId="1" xfId="0" applyNumberFormat="1" applyFill="1" applyBorder="1"/>
    <xf numFmtId="167" fontId="0" fillId="5" borderId="1" xfId="0" applyNumberFormat="1" applyFill="1" applyBorder="1"/>
    <xf numFmtId="165" fontId="2" fillId="2" borderId="1" xfId="1" applyNumberFormat="1" applyFont="1" applyFill="1" applyBorder="1" applyAlignment="1">
      <alignment horizontal="center"/>
    </xf>
    <xf numFmtId="1" fontId="2" fillId="5" borderId="1" xfId="1" applyNumberFormat="1" applyFont="1" applyFill="1" applyBorder="1"/>
    <xf numFmtId="43" fontId="0" fillId="0" borderId="1" xfId="1" applyFont="1" applyBorder="1" applyAlignment="1">
      <alignment horizontal="center"/>
    </xf>
    <xf numFmtId="0" fontId="2" fillId="5" borderId="1" xfId="1" applyNumberFormat="1" applyFont="1" applyFill="1" applyBorder="1"/>
    <xf numFmtId="166" fontId="0" fillId="5" borderId="12" xfId="0" applyNumberFormat="1" applyFill="1" applyBorder="1"/>
    <xf numFmtId="0" fontId="0" fillId="0" borderId="13" xfId="0" applyBorder="1"/>
    <xf numFmtId="0" fontId="2" fillId="5" borderId="12" xfId="1" applyNumberFormat="1" applyFont="1" applyFill="1" applyBorder="1"/>
    <xf numFmtId="0" fontId="0" fillId="0" borderId="25" xfId="0" applyBorder="1"/>
    <xf numFmtId="43" fontId="0" fillId="0" borderId="26" xfId="0" applyNumberFormat="1" applyBorder="1" applyAlignment="1">
      <alignment horizontal="center"/>
    </xf>
    <xf numFmtId="0" fontId="2" fillId="0" borderId="26" xfId="0" applyFont="1" applyBorder="1" applyAlignment="1">
      <alignment horizontal="right"/>
    </xf>
    <xf numFmtId="43" fontId="2" fillId="0" borderId="26" xfId="0" applyNumberFormat="1" applyFont="1" applyBorder="1"/>
    <xf numFmtId="0" fontId="0" fillId="0" borderId="26" xfId="0" applyBorder="1"/>
    <xf numFmtId="0" fontId="2" fillId="0" borderId="26" xfId="0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0" fontId="0" fillId="0" borderId="0" xfId="0" applyNumberFormat="1" applyFill="1" applyBorder="1"/>
    <xf numFmtId="3" fontId="0" fillId="0" borderId="5" xfId="0" applyNumberFormat="1" applyFill="1" applyBorder="1"/>
    <xf numFmtId="0" fontId="0" fillId="0" borderId="5" xfId="0" applyFill="1" applyBorder="1"/>
    <xf numFmtId="1" fontId="0" fillId="0" borderId="5" xfId="0" applyNumberFormat="1" applyFill="1" applyBorder="1"/>
    <xf numFmtId="43" fontId="0" fillId="0" borderId="1" xfId="1" applyFont="1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right"/>
    </xf>
    <xf numFmtId="43" fontId="2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0" fillId="2" borderId="5" xfId="1" applyFont="1" applyFill="1" applyBorder="1"/>
    <xf numFmtId="3" fontId="0" fillId="2" borderId="5" xfId="0" applyNumberFormat="1" applyFill="1" applyBorder="1"/>
    <xf numFmtId="0" fontId="6" fillId="0" borderId="0" xfId="0" applyFont="1"/>
    <xf numFmtId="0" fontId="7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7" fillId="8" borderId="0" xfId="0" applyFont="1" applyFill="1"/>
    <xf numFmtId="10" fontId="0" fillId="2" borderId="11" xfId="0" applyNumberFormat="1" applyFill="1" applyBorder="1"/>
    <xf numFmtId="43" fontId="0" fillId="8" borderId="3" xfId="1" applyFont="1" applyFill="1" applyBorder="1" applyProtection="1">
      <protection locked="0"/>
    </xf>
    <xf numFmtId="0" fontId="0" fillId="8" borderId="5" xfId="0" applyFill="1" applyBorder="1" applyProtection="1">
      <protection locked="0"/>
    </xf>
    <xf numFmtId="9" fontId="0" fillId="8" borderId="5" xfId="0" applyNumberFormat="1" applyFill="1" applyBorder="1" applyProtection="1">
      <protection locked="0"/>
    </xf>
    <xf numFmtId="0" fontId="3" fillId="8" borderId="0" xfId="0" applyFont="1" applyFill="1"/>
    <xf numFmtId="0" fontId="3" fillId="7" borderId="0" xfId="0" applyFont="1" applyFill="1"/>
    <xf numFmtId="9" fontId="0" fillId="2" borderId="11" xfId="0" applyNumberFormat="1" applyFill="1" applyBorder="1"/>
    <xf numFmtId="165" fontId="0" fillId="7" borderId="3" xfId="1" applyNumberFormat="1" applyFont="1" applyFill="1" applyBorder="1" applyProtection="1">
      <protection locked="0"/>
    </xf>
    <xf numFmtId="9" fontId="0" fillId="7" borderId="5" xfId="0" applyNumberFormat="1" applyFill="1" applyBorder="1" applyProtection="1">
      <protection locked="0"/>
    </xf>
    <xf numFmtId="43" fontId="0" fillId="7" borderId="3" xfId="1" applyFont="1" applyFill="1" applyBorder="1" applyProtection="1">
      <protection locked="0"/>
    </xf>
    <xf numFmtId="0" fontId="0" fillId="7" borderId="5" xfId="0" applyFill="1" applyBorder="1" applyProtection="1">
      <protection locked="0"/>
    </xf>
    <xf numFmtId="165" fontId="0" fillId="8" borderId="3" xfId="1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16</xdr:row>
          <xdr:rowOff>142875</xdr:rowOff>
        </xdr:from>
        <xdr:to>
          <xdr:col>0</xdr:col>
          <xdr:colOff>1581150</xdr:colOff>
          <xdr:row>20</xdr:row>
          <xdr:rowOff>66675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22</xdr:row>
          <xdr:rowOff>104775</xdr:rowOff>
        </xdr:from>
        <xdr:to>
          <xdr:col>0</xdr:col>
          <xdr:colOff>2019300</xdr:colOff>
          <xdr:row>26</xdr:row>
          <xdr:rowOff>28575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19</xdr:row>
          <xdr:rowOff>66675</xdr:rowOff>
        </xdr:from>
        <xdr:to>
          <xdr:col>0</xdr:col>
          <xdr:colOff>1533525</xdr:colOff>
          <xdr:row>22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657225</xdr:colOff>
          <xdr:row>22</xdr:row>
          <xdr:rowOff>171450</xdr:rowOff>
        </xdr:from>
        <xdr:to>
          <xdr:col>0</xdr:col>
          <xdr:colOff>1571625</xdr:colOff>
          <xdr:row>26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workbookViewId="0">
      <selection activeCell="B8" sqref="B8"/>
    </sheetView>
  </sheetViews>
  <sheetFormatPr defaultRowHeight="15" x14ac:dyDescent="0.25"/>
  <cols>
    <col min="1" max="1" width="45.28515625" bestFit="1" customWidth="1"/>
    <col min="2" max="2" width="32.5703125" customWidth="1"/>
    <col min="3" max="3" width="29.28515625" hidden="1" customWidth="1"/>
    <col min="4" max="4" width="22.28515625" hidden="1" customWidth="1"/>
    <col min="5" max="5" width="21.140625" hidden="1" customWidth="1"/>
    <col min="6" max="6" width="23.140625" hidden="1" customWidth="1"/>
    <col min="7" max="7" width="22.85546875" hidden="1" customWidth="1"/>
    <col min="8" max="8" width="21.5703125" hidden="1" customWidth="1"/>
    <col min="9" max="9" width="27.5703125" customWidth="1"/>
    <col min="10" max="10" width="9.5703125" customWidth="1"/>
  </cols>
  <sheetData>
    <row r="1" spans="1:9" x14ac:dyDescent="0.25">
      <c r="A1" s="22" t="s">
        <v>52</v>
      </c>
    </row>
    <row r="2" spans="1:9" x14ac:dyDescent="0.25">
      <c r="A2" s="22"/>
    </row>
    <row r="3" spans="1:9" x14ac:dyDescent="0.25">
      <c r="A3" s="99" t="s">
        <v>6</v>
      </c>
    </row>
    <row r="4" spans="1:9" x14ac:dyDescent="0.25">
      <c r="E4" s="4"/>
      <c r="F4" s="4"/>
      <c r="G4" s="4"/>
      <c r="H4" s="4"/>
    </row>
    <row r="5" spans="1:9" x14ac:dyDescent="0.25">
      <c r="A5" s="2" t="s">
        <v>53</v>
      </c>
      <c r="B5" s="3"/>
      <c r="E5" s="4"/>
      <c r="F5" s="4"/>
      <c r="G5" s="4"/>
      <c r="H5" s="4"/>
    </row>
    <row r="6" spans="1:9" x14ac:dyDescent="0.25">
      <c r="A6" s="5" t="s">
        <v>0</v>
      </c>
      <c r="B6" s="101">
        <v>300000</v>
      </c>
      <c r="E6" s="4"/>
      <c r="F6" s="24"/>
      <c r="G6" s="25"/>
      <c r="H6" s="4"/>
    </row>
    <row r="7" spans="1:9" x14ac:dyDescent="0.25">
      <c r="A7" s="1" t="s">
        <v>16</v>
      </c>
      <c r="B7" s="92">
        <f>B6*(1+150%)</f>
        <v>750000</v>
      </c>
      <c r="E7" s="4"/>
      <c r="F7" s="24"/>
      <c r="G7" s="25"/>
      <c r="H7" s="4"/>
    </row>
    <row r="8" spans="1:9" x14ac:dyDescent="0.25">
      <c r="A8" s="1" t="s">
        <v>4</v>
      </c>
      <c r="B8" s="102">
        <v>2017</v>
      </c>
      <c r="E8" s="4"/>
      <c r="F8" s="24"/>
      <c r="G8" s="4"/>
      <c r="H8" s="4"/>
    </row>
    <row r="9" spans="1:9" x14ac:dyDescent="0.25">
      <c r="A9" s="1" t="s">
        <v>2</v>
      </c>
      <c r="B9" s="103">
        <v>0.2</v>
      </c>
      <c r="D9" s="21"/>
      <c r="E9" s="4"/>
      <c r="F9" s="4"/>
      <c r="G9" s="4"/>
      <c r="H9" s="4"/>
    </row>
    <row r="10" spans="1:9" hidden="1" x14ac:dyDescent="0.25">
      <c r="A10" s="1" t="s">
        <v>3</v>
      </c>
      <c r="B10" s="11">
        <v>2017</v>
      </c>
      <c r="D10" s="12"/>
    </row>
    <row r="11" spans="1:9" hidden="1" x14ac:dyDescent="0.25">
      <c r="A11" s="13" t="s">
        <v>12</v>
      </c>
      <c r="B11" s="17" t="s">
        <v>13</v>
      </c>
      <c r="D11" s="9"/>
      <c r="I11" s="4"/>
    </row>
    <row r="12" spans="1:9" x14ac:dyDescent="0.25">
      <c r="A12" s="2" t="s">
        <v>5</v>
      </c>
      <c r="B12" s="100">
        <v>0.24</v>
      </c>
      <c r="E12" s="4"/>
    </row>
    <row r="13" spans="1:9" x14ac:dyDescent="0.25">
      <c r="B13" s="14"/>
      <c r="C13" s="15"/>
    </row>
    <row r="14" spans="1:9" x14ac:dyDescent="0.25">
      <c r="B14" s="14"/>
      <c r="C14" s="15"/>
    </row>
    <row r="15" spans="1:9" x14ac:dyDescent="0.25">
      <c r="B15" s="112" t="s">
        <v>49</v>
      </c>
      <c r="C15" s="112"/>
      <c r="D15" s="112"/>
      <c r="E15" s="112"/>
      <c r="F15" s="112"/>
      <c r="G15" s="112"/>
      <c r="H15" s="112"/>
      <c r="I15" s="112"/>
    </row>
    <row r="16" spans="1:9" x14ac:dyDescent="0.25">
      <c r="A16" s="94" t="s">
        <v>56</v>
      </c>
      <c r="B16" s="28" t="s">
        <v>7</v>
      </c>
      <c r="C16" s="28" t="s">
        <v>20</v>
      </c>
      <c r="D16" s="28" t="s">
        <v>9</v>
      </c>
      <c r="E16" s="28" t="s">
        <v>10</v>
      </c>
      <c r="F16" s="28" t="s">
        <v>18</v>
      </c>
      <c r="G16" s="28" t="s">
        <v>15</v>
      </c>
      <c r="H16" s="28" t="s">
        <v>11</v>
      </c>
      <c r="I16" s="10" t="s">
        <v>58</v>
      </c>
    </row>
    <row r="17" spans="2:11" x14ac:dyDescent="0.25">
      <c r="B17" s="62"/>
      <c r="C17" s="62"/>
      <c r="D17" s="62"/>
      <c r="E17" s="62"/>
      <c r="F17" s="62"/>
      <c r="G17" s="62"/>
      <c r="H17" s="63">
        <f>+B7</f>
        <v>750000</v>
      </c>
      <c r="I17" s="64"/>
    </row>
    <row r="18" spans="2:11" x14ac:dyDescent="0.25">
      <c r="B18" s="67">
        <f>+B10</f>
        <v>2017</v>
      </c>
      <c r="C18" s="49">
        <f>IF(H17&gt;0,$H$17,0)</f>
        <v>750000</v>
      </c>
      <c r="D18" s="29">
        <f>IF(AND(B18=$B$8,B11="si"),$B$9/2,$B$9)</f>
        <v>0.1</v>
      </c>
      <c r="E18" s="49">
        <f>IF(H17&lt;C18*D18,H17,C18*D18)</f>
        <v>75000</v>
      </c>
      <c r="F18" s="50">
        <f t="shared" ref="F18:F28" si="0">IF(OR(B18=$B$8,E18=0),0,G17)</f>
        <v>0</v>
      </c>
      <c r="G18" s="66">
        <f>IF(F18=0,E18,F18+E18)</f>
        <v>75000</v>
      </c>
      <c r="H18" s="66">
        <f>C18-G18</f>
        <v>675000</v>
      </c>
      <c r="I18" s="86">
        <f t="shared" ref="I18:I28" si="1">+E18*$B$12</f>
        <v>18000</v>
      </c>
      <c r="K18" s="4"/>
    </row>
    <row r="19" spans="2:11" x14ac:dyDescent="0.25">
      <c r="B19" s="67">
        <f>B18+1</f>
        <v>2018</v>
      </c>
      <c r="C19" s="49">
        <f t="shared" ref="C19:C28" si="2">IF(H18&gt;0,$H$17,0)</f>
        <v>750000</v>
      </c>
      <c r="D19" s="29">
        <f>IF(AND(B19=$B$8,B11="si"),$B$9/2,$B$9)</f>
        <v>0.2</v>
      </c>
      <c r="E19" s="49">
        <f>IF(H18&lt;C19*D19,H18,C19*D19)</f>
        <v>150000</v>
      </c>
      <c r="F19" s="50">
        <f t="shared" si="0"/>
        <v>75000</v>
      </c>
      <c r="G19" s="66">
        <f t="shared" ref="G19:G25" si="3">IF(F19=0,E19,F19+E19)</f>
        <v>225000</v>
      </c>
      <c r="H19" s="66">
        <f t="shared" ref="H19:H28" si="4">C19-G19</f>
        <v>525000</v>
      </c>
      <c r="I19" s="86">
        <f t="shared" si="1"/>
        <v>36000</v>
      </c>
    </row>
    <row r="20" spans="2:11" x14ac:dyDescent="0.25">
      <c r="B20" s="67">
        <f t="shared" ref="B20:B28" si="5">B19+1</f>
        <v>2019</v>
      </c>
      <c r="C20" s="49">
        <f t="shared" si="2"/>
        <v>750000</v>
      </c>
      <c r="D20" s="29">
        <f>IF(AND(B20=$B$8,B11="si"),$B$9/2,$B$9)</f>
        <v>0.2</v>
      </c>
      <c r="E20" s="49">
        <f t="shared" ref="E20:E28" si="6">IF(H19&lt;C20*D20,H19,C20*D20)</f>
        <v>150000</v>
      </c>
      <c r="F20" s="50">
        <f t="shared" si="0"/>
        <v>225000</v>
      </c>
      <c r="G20" s="66">
        <f t="shared" si="3"/>
        <v>375000</v>
      </c>
      <c r="H20" s="66">
        <f t="shared" si="4"/>
        <v>375000</v>
      </c>
      <c r="I20" s="86">
        <f t="shared" si="1"/>
        <v>36000</v>
      </c>
    </row>
    <row r="21" spans="2:11" x14ac:dyDescent="0.25">
      <c r="B21" s="67">
        <f t="shared" si="5"/>
        <v>2020</v>
      </c>
      <c r="C21" s="49">
        <f t="shared" si="2"/>
        <v>750000</v>
      </c>
      <c r="D21" s="29">
        <f>IF(AND(B21=$B$8,B11="si"),$B$9/2,$B$9)</f>
        <v>0.2</v>
      </c>
      <c r="E21" s="49">
        <f t="shared" si="6"/>
        <v>150000</v>
      </c>
      <c r="F21" s="50">
        <f t="shared" si="0"/>
        <v>375000</v>
      </c>
      <c r="G21" s="66">
        <f t="shared" si="3"/>
        <v>525000</v>
      </c>
      <c r="H21" s="66">
        <f t="shared" si="4"/>
        <v>225000</v>
      </c>
      <c r="I21" s="86">
        <f t="shared" si="1"/>
        <v>36000</v>
      </c>
    </row>
    <row r="22" spans="2:11" x14ac:dyDescent="0.25">
      <c r="B22" s="67">
        <f t="shared" si="5"/>
        <v>2021</v>
      </c>
      <c r="C22" s="49">
        <f t="shared" si="2"/>
        <v>750000</v>
      </c>
      <c r="D22" s="29">
        <f>IF(AND(B22=$B$8,B11="si"),$B$9/2,$B$9)</f>
        <v>0.2</v>
      </c>
      <c r="E22" s="49">
        <f t="shared" si="6"/>
        <v>150000</v>
      </c>
      <c r="F22" s="50">
        <f t="shared" si="0"/>
        <v>525000</v>
      </c>
      <c r="G22" s="66">
        <f t="shared" si="3"/>
        <v>675000</v>
      </c>
      <c r="H22" s="66">
        <f t="shared" si="4"/>
        <v>75000</v>
      </c>
      <c r="I22" s="86">
        <f t="shared" si="1"/>
        <v>36000</v>
      </c>
    </row>
    <row r="23" spans="2:11" x14ac:dyDescent="0.25">
      <c r="B23" s="67">
        <f t="shared" si="5"/>
        <v>2022</v>
      </c>
      <c r="C23" s="49">
        <f t="shared" si="2"/>
        <v>750000</v>
      </c>
      <c r="D23" s="29">
        <f>IF(AND(B23=$B$8,B11="si"),$B$9/2,$B$9)</f>
        <v>0.2</v>
      </c>
      <c r="E23" s="49">
        <f t="shared" si="6"/>
        <v>75000</v>
      </c>
      <c r="F23" s="50">
        <f t="shared" si="0"/>
        <v>675000</v>
      </c>
      <c r="G23" s="66">
        <f t="shared" si="3"/>
        <v>750000</v>
      </c>
      <c r="H23" s="66">
        <f t="shared" si="4"/>
        <v>0</v>
      </c>
      <c r="I23" s="86">
        <f t="shared" si="1"/>
        <v>18000</v>
      </c>
    </row>
    <row r="24" spans="2:11" x14ac:dyDescent="0.25">
      <c r="B24" s="67">
        <f t="shared" si="5"/>
        <v>2023</v>
      </c>
      <c r="C24" s="49">
        <f t="shared" si="2"/>
        <v>0</v>
      </c>
      <c r="D24" s="29">
        <f>IF(AND(B24=$B$8,B11="si"),$B$9/2,$B$9)</f>
        <v>0.2</v>
      </c>
      <c r="E24" s="49">
        <f t="shared" si="6"/>
        <v>0</v>
      </c>
      <c r="F24" s="50">
        <f t="shared" si="0"/>
        <v>0</v>
      </c>
      <c r="G24" s="66">
        <f t="shared" si="3"/>
        <v>0</v>
      </c>
      <c r="H24" s="66">
        <f t="shared" si="4"/>
        <v>0</v>
      </c>
      <c r="I24" s="86">
        <f t="shared" si="1"/>
        <v>0</v>
      </c>
    </row>
    <row r="25" spans="2:11" x14ac:dyDescent="0.25">
      <c r="B25" s="67">
        <f t="shared" si="5"/>
        <v>2024</v>
      </c>
      <c r="C25" s="49">
        <f t="shared" si="2"/>
        <v>0</v>
      </c>
      <c r="D25" s="29">
        <f>IF(AND(B25=$B$8,B11="si"),$B$9/2,$B$9)</f>
        <v>0.2</v>
      </c>
      <c r="E25" s="49">
        <f>IF(H24&lt;C25*D25,H24,C25*D25)</f>
        <v>0</v>
      </c>
      <c r="F25" s="50">
        <f t="shared" si="0"/>
        <v>0</v>
      </c>
      <c r="G25" s="66">
        <f t="shared" si="3"/>
        <v>0</v>
      </c>
      <c r="H25" s="66">
        <f t="shared" si="4"/>
        <v>0</v>
      </c>
      <c r="I25" s="86">
        <f t="shared" si="1"/>
        <v>0</v>
      </c>
    </row>
    <row r="26" spans="2:11" x14ac:dyDescent="0.25">
      <c r="B26" s="67">
        <f t="shared" si="5"/>
        <v>2025</v>
      </c>
      <c r="C26" s="49">
        <f t="shared" si="2"/>
        <v>0</v>
      </c>
      <c r="D26" s="29">
        <f>IF(AND(B26=$B$8,B11="si"),$B$9/2,$B$9)</f>
        <v>0.2</v>
      </c>
      <c r="E26" s="49">
        <f t="shared" si="6"/>
        <v>0</v>
      </c>
      <c r="F26" s="50">
        <f t="shared" si="0"/>
        <v>0</v>
      </c>
      <c r="G26" s="66">
        <f t="shared" ref="G26:G28" si="7">F26+E26</f>
        <v>0</v>
      </c>
      <c r="H26" s="66">
        <f t="shared" si="4"/>
        <v>0</v>
      </c>
      <c r="I26" s="86">
        <f t="shared" si="1"/>
        <v>0</v>
      </c>
    </row>
    <row r="27" spans="2:11" x14ac:dyDescent="0.25">
      <c r="B27" s="67">
        <f t="shared" si="5"/>
        <v>2026</v>
      </c>
      <c r="C27" s="49">
        <f t="shared" si="2"/>
        <v>0</v>
      </c>
      <c r="D27" s="29">
        <f>IF(AND(B27=$B$8,B11="si"),$B$9/2,$B$9)</f>
        <v>0.2</v>
      </c>
      <c r="E27" s="49">
        <f t="shared" si="6"/>
        <v>0</v>
      </c>
      <c r="F27" s="50">
        <f t="shared" si="0"/>
        <v>0</v>
      </c>
      <c r="G27" s="66">
        <f t="shared" si="7"/>
        <v>0</v>
      </c>
      <c r="H27" s="66">
        <f t="shared" si="4"/>
        <v>0</v>
      </c>
      <c r="I27" s="86">
        <f t="shared" si="1"/>
        <v>0</v>
      </c>
    </row>
    <row r="28" spans="2:11" x14ac:dyDescent="0.25">
      <c r="B28" s="67">
        <f t="shared" si="5"/>
        <v>2027</v>
      </c>
      <c r="C28" s="49">
        <f t="shared" si="2"/>
        <v>0</v>
      </c>
      <c r="D28" s="29">
        <f>IF(AND(B28=$B$8,B11="si"),$B$9/2,$B$9)</f>
        <v>0.2</v>
      </c>
      <c r="E28" s="49">
        <f t="shared" si="6"/>
        <v>0</v>
      </c>
      <c r="F28" s="50">
        <f t="shared" si="0"/>
        <v>0</v>
      </c>
      <c r="G28" s="66">
        <f t="shared" si="7"/>
        <v>0</v>
      </c>
      <c r="H28" s="66">
        <f t="shared" si="4"/>
        <v>0</v>
      </c>
      <c r="I28" s="86">
        <f t="shared" si="1"/>
        <v>0</v>
      </c>
    </row>
    <row r="29" spans="2:11" x14ac:dyDescent="0.25">
      <c r="B29" s="87"/>
      <c r="C29" s="87"/>
      <c r="D29" s="88" t="s">
        <v>19</v>
      </c>
      <c r="E29" s="89">
        <f>SUM(E18:E28)</f>
        <v>750000</v>
      </c>
      <c r="F29" s="87"/>
      <c r="G29" s="87"/>
      <c r="H29" s="28" t="s">
        <v>19</v>
      </c>
      <c r="I29" s="90">
        <f>SUM(I18:I28)</f>
        <v>180000</v>
      </c>
    </row>
    <row r="31" spans="2:11" x14ac:dyDescent="0.25">
      <c r="B31" s="112" t="s">
        <v>60</v>
      </c>
      <c r="C31" s="112"/>
      <c r="D31" s="112"/>
      <c r="E31" s="112"/>
      <c r="F31" s="112"/>
      <c r="G31" s="112"/>
      <c r="H31" s="112"/>
      <c r="I31" s="112"/>
    </row>
    <row r="32" spans="2:11" x14ac:dyDescent="0.25">
      <c r="B32" s="28" t="s">
        <v>7</v>
      </c>
      <c r="C32" s="28" t="s">
        <v>8</v>
      </c>
      <c r="D32" s="28" t="s">
        <v>9</v>
      </c>
      <c r="E32" s="28" t="s">
        <v>10</v>
      </c>
      <c r="F32" s="28" t="s">
        <v>14</v>
      </c>
      <c r="G32" s="28" t="s">
        <v>15</v>
      </c>
      <c r="H32" s="28" t="s">
        <v>11</v>
      </c>
      <c r="I32" s="10" t="s">
        <v>58</v>
      </c>
    </row>
    <row r="33" spans="1:10" x14ac:dyDescent="0.25">
      <c r="B33" s="62"/>
      <c r="C33" s="62"/>
      <c r="D33" s="62"/>
      <c r="E33" s="62"/>
      <c r="F33" s="62"/>
      <c r="G33" s="62"/>
      <c r="H33" s="63">
        <f>+B6</f>
        <v>300000</v>
      </c>
      <c r="I33" s="87"/>
    </row>
    <row r="34" spans="1:10" x14ac:dyDescent="0.25">
      <c r="B34" s="67">
        <f>+B18</f>
        <v>2017</v>
      </c>
      <c r="C34" s="49">
        <f t="shared" ref="C34:C44" si="8">IF(H33&gt;0,$H$33,0)</f>
        <v>300000</v>
      </c>
      <c r="D34" s="29">
        <f>IF(AND(B18=$B$8,B11="si"),$B$9/2,$B$9)</f>
        <v>0.1</v>
      </c>
      <c r="E34" s="49">
        <f t="shared" ref="E34:E40" si="9">IF(H33&lt;C34*D34,H33,C34*D34)</f>
        <v>30000</v>
      </c>
      <c r="F34" s="50">
        <f t="shared" ref="F34:F44" si="10">IF(OR(B34=$B$8,E34=0),0,G33)</f>
        <v>0</v>
      </c>
      <c r="G34" s="49">
        <f>IF(F34=0,E34,F34+E34)</f>
        <v>30000</v>
      </c>
      <c r="H34" s="49">
        <f>C34-G34</f>
        <v>270000</v>
      </c>
      <c r="I34" s="86">
        <f t="shared" ref="I34:I44" si="11">+E34*$B$12</f>
        <v>7200</v>
      </c>
      <c r="J34" s="8"/>
    </row>
    <row r="35" spans="1:10" x14ac:dyDescent="0.25">
      <c r="B35" s="67">
        <f>B34+1</f>
        <v>2018</v>
      </c>
      <c r="C35" s="49">
        <f t="shared" si="8"/>
        <v>300000</v>
      </c>
      <c r="D35" s="29">
        <f>IF(AND(B19=$B$8,B11="si"),$B$9/2,$B$9)</f>
        <v>0.2</v>
      </c>
      <c r="E35" s="49">
        <f t="shared" si="9"/>
        <v>60000</v>
      </c>
      <c r="F35" s="50">
        <f t="shared" si="10"/>
        <v>30000</v>
      </c>
      <c r="G35" s="49">
        <f t="shared" ref="G35:G44" si="12">IF(F35=0,E35,F35+E35)</f>
        <v>90000</v>
      </c>
      <c r="H35" s="49">
        <f t="shared" ref="H35:H44" si="13">C35-G35</f>
        <v>210000</v>
      </c>
      <c r="I35" s="86">
        <f t="shared" si="11"/>
        <v>14400</v>
      </c>
    </row>
    <row r="36" spans="1:10" x14ac:dyDescent="0.25">
      <c r="B36" s="67">
        <f t="shared" ref="B36:B44" si="14">B35+1</f>
        <v>2019</v>
      </c>
      <c r="C36" s="49">
        <f t="shared" si="8"/>
        <v>300000</v>
      </c>
      <c r="D36" s="29">
        <f>IF(AND(B20=$B$8,B11="si"),$B$9/2,$B$9)</f>
        <v>0.2</v>
      </c>
      <c r="E36" s="49">
        <f t="shared" si="9"/>
        <v>60000</v>
      </c>
      <c r="F36" s="50">
        <f t="shared" si="10"/>
        <v>90000</v>
      </c>
      <c r="G36" s="49">
        <f t="shared" si="12"/>
        <v>150000</v>
      </c>
      <c r="H36" s="49">
        <f t="shared" si="13"/>
        <v>150000</v>
      </c>
      <c r="I36" s="86">
        <f t="shared" si="11"/>
        <v>14400</v>
      </c>
    </row>
    <row r="37" spans="1:10" x14ac:dyDescent="0.25">
      <c r="B37" s="67">
        <f t="shared" si="14"/>
        <v>2020</v>
      </c>
      <c r="C37" s="49">
        <f t="shared" si="8"/>
        <v>300000</v>
      </c>
      <c r="D37" s="29">
        <f>IF(AND(B21=$B$8,B11="si"),$B$9/2,$B$9)</f>
        <v>0.2</v>
      </c>
      <c r="E37" s="49">
        <f t="shared" si="9"/>
        <v>60000</v>
      </c>
      <c r="F37" s="50">
        <f t="shared" si="10"/>
        <v>150000</v>
      </c>
      <c r="G37" s="49">
        <f t="shared" si="12"/>
        <v>210000</v>
      </c>
      <c r="H37" s="49">
        <f t="shared" si="13"/>
        <v>90000</v>
      </c>
      <c r="I37" s="86">
        <f t="shared" si="11"/>
        <v>14400</v>
      </c>
    </row>
    <row r="38" spans="1:10" x14ac:dyDescent="0.25">
      <c r="B38" s="67">
        <f t="shared" si="14"/>
        <v>2021</v>
      </c>
      <c r="C38" s="49">
        <f t="shared" si="8"/>
        <v>300000</v>
      </c>
      <c r="D38" s="29">
        <f>IF(AND(B22=$B$8,B11="si"),$B$9/2,$B$9)</f>
        <v>0.2</v>
      </c>
      <c r="E38" s="49">
        <f t="shared" si="9"/>
        <v>60000</v>
      </c>
      <c r="F38" s="50">
        <f t="shared" si="10"/>
        <v>210000</v>
      </c>
      <c r="G38" s="49">
        <f t="shared" si="12"/>
        <v>270000</v>
      </c>
      <c r="H38" s="49">
        <f t="shared" si="13"/>
        <v>30000</v>
      </c>
      <c r="I38" s="86">
        <f t="shared" si="11"/>
        <v>14400</v>
      </c>
    </row>
    <row r="39" spans="1:10" x14ac:dyDescent="0.25">
      <c r="B39" s="67">
        <f t="shared" si="14"/>
        <v>2022</v>
      </c>
      <c r="C39" s="49">
        <f t="shared" si="8"/>
        <v>300000</v>
      </c>
      <c r="D39" s="29">
        <f>IF(AND(B23=$B$8,B11="si"),$B$9/2,$B$9)</f>
        <v>0.2</v>
      </c>
      <c r="E39" s="49">
        <f t="shared" si="9"/>
        <v>30000</v>
      </c>
      <c r="F39" s="50">
        <f t="shared" si="10"/>
        <v>270000</v>
      </c>
      <c r="G39" s="49">
        <f t="shared" si="12"/>
        <v>300000</v>
      </c>
      <c r="H39" s="49">
        <f t="shared" si="13"/>
        <v>0</v>
      </c>
      <c r="I39" s="86">
        <f t="shared" si="11"/>
        <v>7200</v>
      </c>
    </row>
    <row r="40" spans="1:10" x14ac:dyDescent="0.25">
      <c r="B40" s="67">
        <f t="shared" si="14"/>
        <v>2023</v>
      </c>
      <c r="C40" s="49">
        <f t="shared" si="8"/>
        <v>0</v>
      </c>
      <c r="D40" s="29">
        <f>IF(AND(B24=$B$8,B11="si"),$B$9/2,$B$9)</f>
        <v>0.2</v>
      </c>
      <c r="E40" s="49">
        <f t="shared" si="9"/>
        <v>0</v>
      </c>
      <c r="F40" s="50">
        <f t="shared" si="10"/>
        <v>0</v>
      </c>
      <c r="G40" s="49">
        <f>IF(F40=0,E40,F40+E40)</f>
        <v>0</v>
      </c>
      <c r="H40" s="49">
        <f t="shared" si="13"/>
        <v>0</v>
      </c>
      <c r="I40" s="86">
        <f t="shared" si="11"/>
        <v>0</v>
      </c>
    </row>
    <row r="41" spans="1:10" x14ac:dyDescent="0.25">
      <c r="B41" s="67">
        <f t="shared" si="14"/>
        <v>2024</v>
      </c>
      <c r="C41" s="49">
        <f t="shared" si="8"/>
        <v>0</v>
      </c>
      <c r="D41" s="29">
        <f>IF(AND(B25=$B$8,B11="si"),$B$9/2,$B$9)</f>
        <v>0.2</v>
      </c>
      <c r="E41" s="49">
        <f>IF(H40&lt;C41*D41,H40,C41*D41)</f>
        <v>0</v>
      </c>
      <c r="F41" s="50">
        <f t="shared" si="10"/>
        <v>0</v>
      </c>
      <c r="G41" s="49">
        <f t="shared" si="12"/>
        <v>0</v>
      </c>
      <c r="H41" s="49">
        <f t="shared" si="13"/>
        <v>0</v>
      </c>
      <c r="I41" s="86">
        <f t="shared" si="11"/>
        <v>0</v>
      </c>
    </row>
    <row r="42" spans="1:10" x14ac:dyDescent="0.25">
      <c r="B42" s="67">
        <f t="shared" si="14"/>
        <v>2025</v>
      </c>
      <c r="C42" s="49">
        <f t="shared" si="8"/>
        <v>0</v>
      </c>
      <c r="D42" s="29">
        <f>IF(AND(B26=$B$8,B11="si"),$B$9/2,$B$9)</f>
        <v>0.2</v>
      </c>
      <c r="E42" s="49">
        <f>IF(H41&lt;C42*D42,H25,C42*D42)</f>
        <v>0</v>
      </c>
      <c r="F42" s="50">
        <f t="shared" si="10"/>
        <v>0</v>
      </c>
      <c r="G42" s="49">
        <f t="shared" si="12"/>
        <v>0</v>
      </c>
      <c r="H42" s="49">
        <f t="shared" si="13"/>
        <v>0</v>
      </c>
      <c r="I42" s="86">
        <f t="shared" si="11"/>
        <v>0</v>
      </c>
    </row>
    <row r="43" spans="1:10" x14ac:dyDescent="0.25">
      <c r="B43" s="67">
        <f t="shared" si="14"/>
        <v>2026</v>
      </c>
      <c r="C43" s="49">
        <f t="shared" si="8"/>
        <v>0</v>
      </c>
      <c r="D43" s="29">
        <f>IF(AND(B27=$B$8,B11="si"),$B$9/2,$B$9)</f>
        <v>0.2</v>
      </c>
      <c r="E43" s="49">
        <f>IF(H42&lt;C43*D43,H26,C43*D43)</f>
        <v>0</v>
      </c>
      <c r="F43" s="50">
        <f t="shared" si="10"/>
        <v>0</v>
      </c>
      <c r="G43" s="49">
        <f t="shared" si="12"/>
        <v>0</v>
      </c>
      <c r="H43" s="49">
        <f t="shared" si="13"/>
        <v>0</v>
      </c>
      <c r="I43" s="86">
        <f t="shared" si="11"/>
        <v>0</v>
      </c>
    </row>
    <row r="44" spans="1:10" x14ac:dyDescent="0.25">
      <c r="B44" s="67">
        <f t="shared" si="14"/>
        <v>2027</v>
      </c>
      <c r="C44" s="49">
        <f t="shared" si="8"/>
        <v>0</v>
      </c>
      <c r="D44" s="29">
        <f>IF(AND(B28=$B$8,B11="si"),$B$9/2,$B$9)</f>
        <v>0.2</v>
      </c>
      <c r="E44" s="49">
        <f>IF(H43&lt;C44*D44,H27,C44*D44)</f>
        <v>0</v>
      </c>
      <c r="F44" s="50">
        <f t="shared" si="10"/>
        <v>0</v>
      </c>
      <c r="G44" s="49">
        <f t="shared" si="12"/>
        <v>0</v>
      </c>
      <c r="H44" s="49">
        <f t="shared" si="13"/>
        <v>0</v>
      </c>
      <c r="I44" s="86">
        <f t="shared" si="11"/>
        <v>0</v>
      </c>
    </row>
    <row r="45" spans="1:10" x14ac:dyDescent="0.25">
      <c r="B45" s="87"/>
      <c r="C45" s="49"/>
      <c r="D45" s="88" t="s">
        <v>19</v>
      </c>
      <c r="E45" s="89">
        <f>SUM(E34:E44)</f>
        <v>300000</v>
      </c>
      <c r="F45" s="87"/>
      <c r="G45" s="87"/>
      <c r="H45" s="28" t="s">
        <v>19</v>
      </c>
      <c r="I45" s="91">
        <f>SUM(I34:I44)</f>
        <v>72000</v>
      </c>
    </row>
    <row r="47" spans="1:10" ht="48.75" customHeight="1" x14ac:dyDescent="0.25">
      <c r="A47" s="96" t="s">
        <v>50</v>
      </c>
      <c r="B47" s="43">
        <f>I29-I45</f>
        <v>108000</v>
      </c>
    </row>
    <row r="49" spans="2:2" x14ac:dyDescent="0.25">
      <c r="B49" s="20">
        <f>B47/I45</f>
        <v>1.5</v>
      </c>
    </row>
  </sheetData>
  <sheetProtection password="D254" sheet="1" objects="1" scenarios="1" selectLockedCells="1"/>
  <mergeCells count="2">
    <mergeCell ref="B15:I15"/>
    <mergeCell ref="B31:I31"/>
  </mergeCells>
  <dataValidations count="1">
    <dataValidation type="list" allowBlank="1" showInputMessage="1" showErrorMessage="1" sqref="B11">
      <formula1>mezza_aliquota_primo_anno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6145" r:id="rId4">
          <objectPr locked="0" defaultSize="0" r:id="rId5">
            <anchor moveWithCells="1">
              <from>
                <xdr:col>0</xdr:col>
                <xdr:colOff>666750</xdr:colOff>
                <xdr:row>16</xdr:row>
                <xdr:rowOff>142875</xdr:rowOff>
              </from>
              <to>
                <xdr:col>0</xdr:col>
                <xdr:colOff>1581150</xdr:colOff>
                <xdr:row>20</xdr:row>
                <xdr:rowOff>66675</xdr:rowOff>
              </to>
            </anchor>
          </objectPr>
        </oleObject>
      </mc:Choice>
      <mc:Fallback>
        <oleObject progId="AcroExch.Document.DC" dvAspect="DVASPECT_ICON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workbookViewId="0">
      <selection activeCell="B6" sqref="B6"/>
    </sheetView>
  </sheetViews>
  <sheetFormatPr defaultRowHeight="15" x14ac:dyDescent="0.25"/>
  <cols>
    <col min="1" max="1" width="40.140625" bestFit="1" customWidth="1"/>
    <col min="2" max="2" width="33.5703125" customWidth="1"/>
    <col min="3" max="3" width="19.5703125" hidden="1" customWidth="1"/>
    <col min="4" max="4" width="20.7109375" hidden="1" customWidth="1"/>
    <col min="5" max="5" width="21.140625" customWidth="1"/>
    <col min="6" max="6" width="23.140625" customWidth="1"/>
    <col min="7" max="7" width="22.85546875" hidden="1" customWidth="1"/>
    <col min="8" max="8" width="21.5703125" hidden="1" customWidth="1"/>
    <col min="9" max="9" width="27.5703125" customWidth="1"/>
    <col min="10" max="10" width="9.5703125" customWidth="1"/>
  </cols>
  <sheetData>
    <row r="1" spans="1:9" x14ac:dyDescent="0.25">
      <c r="A1" s="22" t="s">
        <v>46</v>
      </c>
    </row>
    <row r="2" spans="1:9" x14ac:dyDescent="0.25">
      <c r="A2" s="22"/>
    </row>
    <row r="3" spans="1:9" x14ac:dyDescent="0.25">
      <c r="A3" s="105" t="s">
        <v>6</v>
      </c>
    </row>
    <row r="4" spans="1:9" x14ac:dyDescent="0.25">
      <c r="A4" s="2"/>
      <c r="B4" s="3"/>
      <c r="F4" s="78"/>
      <c r="G4" s="79"/>
      <c r="H4" s="79"/>
    </row>
    <row r="5" spans="1:9" x14ac:dyDescent="0.25">
      <c r="A5" s="5" t="s">
        <v>27</v>
      </c>
      <c r="B5" s="107">
        <v>200000</v>
      </c>
      <c r="F5" s="80"/>
      <c r="G5" s="81"/>
      <c r="H5" s="79"/>
    </row>
    <row r="6" spans="1:9" x14ac:dyDescent="0.25">
      <c r="A6" s="1" t="s">
        <v>28</v>
      </c>
      <c r="B6" s="108">
        <v>0.1</v>
      </c>
      <c r="F6" s="80"/>
      <c r="G6" s="81"/>
      <c r="H6" s="79"/>
    </row>
    <row r="7" spans="1:9" hidden="1" x14ac:dyDescent="0.25">
      <c r="A7" s="1" t="s">
        <v>29</v>
      </c>
      <c r="B7" s="93">
        <f>+B5*B6</f>
        <v>20000</v>
      </c>
      <c r="F7" s="79"/>
      <c r="G7" s="79"/>
      <c r="H7" s="79"/>
    </row>
    <row r="8" spans="1:9" hidden="1" x14ac:dyDescent="0.25">
      <c r="A8" s="1" t="s">
        <v>35</v>
      </c>
      <c r="B8" s="82">
        <f>+B5-B7</f>
        <v>180000</v>
      </c>
      <c r="F8" s="24"/>
      <c r="G8" s="25"/>
    </row>
    <row r="9" spans="1:9" x14ac:dyDescent="0.25">
      <c r="A9" s="1" t="s">
        <v>42</v>
      </c>
      <c r="B9" s="82">
        <f>B8*(1+150%)</f>
        <v>450000</v>
      </c>
      <c r="F9" s="24"/>
      <c r="G9" s="25"/>
    </row>
    <row r="10" spans="1:9" x14ac:dyDescent="0.25">
      <c r="A10" s="1" t="s">
        <v>43</v>
      </c>
      <c r="B10" s="82">
        <f>B7*(1+150%)</f>
        <v>50000</v>
      </c>
    </row>
    <row r="11" spans="1:9" x14ac:dyDescent="0.25">
      <c r="A11" s="1" t="s">
        <v>31</v>
      </c>
      <c r="B11" s="83">
        <v>2017</v>
      </c>
    </row>
    <row r="12" spans="1:9" x14ac:dyDescent="0.25">
      <c r="A12" s="1" t="s">
        <v>2</v>
      </c>
      <c r="B12" s="108">
        <v>0.2</v>
      </c>
      <c r="D12" s="21"/>
    </row>
    <row r="13" spans="1:9" x14ac:dyDescent="0.25">
      <c r="A13" s="1" t="s">
        <v>32</v>
      </c>
      <c r="B13" s="30">
        <f>100/(B12*100)/2</f>
        <v>2.5</v>
      </c>
    </row>
    <row r="14" spans="1:9" hidden="1" x14ac:dyDescent="0.25">
      <c r="A14" s="1" t="s">
        <v>30</v>
      </c>
      <c r="B14" s="84">
        <f>TRUNC(+B11+B13,0)</f>
        <v>2019</v>
      </c>
    </row>
    <row r="15" spans="1:9" hidden="1" x14ac:dyDescent="0.25">
      <c r="A15" s="1" t="s">
        <v>25</v>
      </c>
      <c r="B15" s="84">
        <f>+B14</f>
        <v>2019</v>
      </c>
      <c r="D15" s="12"/>
    </row>
    <row r="16" spans="1:9" hidden="1" x14ac:dyDescent="0.25">
      <c r="A16" s="13" t="s">
        <v>40</v>
      </c>
      <c r="B16" s="17" t="s">
        <v>13</v>
      </c>
      <c r="D16" s="9"/>
      <c r="I16" s="4"/>
    </row>
    <row r="17" spans="1:11" ht="15.75" thickBot="1" x14ac:dyDescent="0.3">
      <c r="A17" s="16" t="s">
        <v>41</v>
      </c>
      <c r="B17" s="106">
        <v>0.24</v>
      </c>
      <c r="E17" s="4"/>
    </row>
    <row r="18" spans="1:11" x14ac:dyDescent="0.25">
      <c r="B18" s="113" t="s">
        <v>59</v>
      </c>
      <c r="C18" s="114"/>
      <c r="D18" s="114"/>
      <c r="E18" s="115"/>
      <c r="F18" s="113" t="s">
        <v>61</v>
      </c>
      <c r="G18" s="114"/>
      <c r="H18" s="114"/>
      <c r="I18" s="115"/>
    </row>
    <row r="19" spans="1:11" x14ac:dyDescent="0.25">
      <c r="B19" s="32" t="s">
        <v>7</v>
      </c>
      <c r="C19" s="28" t="s">
        <v>36</v>
      </c>
      <c r="D19" s="60" t="s">
        <v>44</v>
      </c>
      <c r="E19" s="33" t="s">
        <v>58</v>
      </c>
      <c r="F19" s="39" t="s">
        <v>7</v>
      </c>
      <c r="G19" s="6" t="s">
        <v>36</v>
      </c>
      <c r="H19" s="28"/>
      <c r="I19" s="33" t="s">
        <v>58</v>
      </c>
    </row>
    <row r="20" spans="1:11" x14ac:dyDescent="0.25">
      <c r="B20" s="40"/>
      <c r="C20" s="42"/>
      <c r="D20" s="42"/>
      <c r="E20" s="42"/>
      <c r="F20" s="41"/>
      <c r="G20" s="42"/>
      <c r="H20" s="42"/>
      <c r="I20" s="42"/>
    </row>
    <row r="21" spans="1:11" x14ac:dyDescent="0.25">
      <c r="A21" s="95" t="s">
        <v>56</v>
      </c>
      <c r="B21" s="41">
        <f>+B11</f>
        <v>2017</v>
      </c>
      <c r="C21" s="49">
        <f t="shared" ref="C21:C31" si="0">IF(B21&lt;$B$14,+$B$8/$B$13,IF(B21&gt;$B$14,0,+$B$8/$B$13*($B$11+$B$13-$B$14)))</f>
        <v>72000</v>
      </c>
      <c r="D21" s="53">
        <f>+C21*(1+150%)</f>
        <v>180000</v>
      </c>
      <c r="E21" s="54">
        <f t="shared" ref="E21:E31" si="1">+D21*$B$17</f>
        <v>43200</v>
      </c>
      <c r="F21" s="41">
        <f>+B21</f>
        <v>2017</v>
      </c>
      <c r="G21" s="55">
        <f>+C21</f>
        <v>72000</v>
      </c>
      <c r="H21" s="56"/>
      <c r="I21" s="54">
        <f t="shared" ref="I21:I31" si="2">+G21*$B$17</f>
        <v>17280</v>
      </c>
      <c r="K21" s="4"/>
    </row>
    <row r="22" spans="1:11" x14ac:dyDescent="0.25">
      <c r="B22" s="42">
        <f>B21+1</f>
        <v>2018</v>
      </c>
      <c r="C22" s="49">
        <f t="shared" si="0"/>
        <v>72000</v>
      </c>
      <c r="D22" s="53">
        <f t="shared" ref="D22:D31" si="3">+C22*(1+150%)</f>
        <v>180000</v>
      </c>
      <c r="E22" s="54">
        <f t="shared" si="1"/>
        <v>43200</v>
      </c>
      <c r="F22" s="41">
        <f>F21+1</f>
        <v>2018</v>
      </c>
      <c r="G22" s="55">
        <f t="shared" ref="G22:G31" si="4">+C22</f>
        <v>72000</v>
      </c>
      <c r="H22" s="56"/>
      <c r="I22" s="54">
        <f t="shared" si="2"/>
        <v>17280</v>
      </c>
    </row>
    <row r="23" spans="1:11" x14ac:dyDescent="0.25">
      <c r="B23" s="42">
        <f t="shared" ref="B23:B31" si="5">B22+1</f>
        <v>2019</v>
      </c>
      <c r="C23" s="49">
        <f t="shared" si="0"/>
        <v>36000</v>
      </c>
      <c r="D23" s="53">
        <f t="shared" si="3"/>
        <v>90000</v>
      </c>
      <c r="E23" s="54">
        <f t="shared" si="1"/>
        <v>21600</v>
      </c>
      <c r="F23" s="41">
        <f t="shared" ref="F23:F31" si="6">F22+1</f>
        <v>2019</v>
      </c>
      <c r="G23" s="55">
        <f t="shared" si="4"/>
        <v>36000</v>
      </c>
      <c r="H23" s="56"/>
      <c r="I23" s="54">
        <f t="shared" si="2"/>
        <v>8640</v>
      </c>
    </row>
    <row r="24" spans="1:11" x14ac:dyDescent="0.25">
      <c r="B24" s="42">
        <f t="shared" si="5"/>
        <v>2020</v>
      </c>
      <c r="C24" s="26">
        <f t="shared" si="0"/>
        <v>0</v>
      </c>
      <c r="D24" s="53">
        <f t="shared" si="3"/>
        <v>0</v>
      </c>
      <c r="E24" s="34">
        <f t="shared" si="1"/>
        <v>0</v>
      </c>
      <c r="F24" s="41">
        <f t="shared" si="6"/>
        <v>2020</v>
      </c>
      <c r="G24" s="55">
        <f t="shared" si="4"/>
        <v>0</v>
      </c>
      <c r="H24" s="56"/>
      <c r="I24" s="54">
        <f t="shared" si="2"/>
        <v>0</v>
      </c>
    </row>
    <row r="25" spans="1:11" x14ac:dyDescent="0.25">
      <c r="B25" s="42">
        <f t="shared" si="5"/>
        <v>2021</v>
      </c>
      <c r="C25" s="26">
        <f t="shared" si="0"/>
        <v>0</v>
      </c>
      <c r="D25" s="53">
        <f t="shared" si="3"/>
        <v>0</v>
      </c>
      <c r="E25" s="34">
        <f t="shared" si="1"/>
        <v>0</v>
      </c>
      <c r="F25" s="41">
        <f t="shared" si="6"/>
        <v>2021</v>
      </c>
      <c r="G25" s="55">
        <f t="shared" si="4"/>
        <v>0</v>
      </c>
      <c r="H25" s="56"/>
      <c r="I25" s="54">
        <f t="shared" si="2"/>
        <v>0</v>
      </c>
    </row>
    <row r="26" spans="1:11" x14ac:dyDescent="0.25">
      <c r="B26" s="42">
        <f t="shared" si="5"/>
        <v>2022</v>
      </c>
      <c r="C26" s="26">
        <f t="shared" si="0"/>
        <v>0</v>
      </c>
      <c r="D26" s="53">
        <f t="shared" si="3"/>
        <v>0</v>
      </c>
      <c r="E26" s="34">
        <f t="shared" si="1"/>
        <v>0</v>
      </c>
      <c r="F26" s="41">
        <f t="shared" si="6"/>
        <v>2022</v>
      </c>
      <c r="G26" s="55">
        <f t="shared" si="4"/>
        <v>0</v>
      </c>
      <c r="H26" s="56"/>
      <c r="I26" s="54">
        <f t="shared" si="2"/>
        <v>0</v>
      </c>
    </row>
    <row r="27" spans="1:11" x14ac:dyDescent="0.25">
      <c r="B27" s="42">
        <f t="shared" si="5"/>
        <v>2023</v>
      </c>
      <c r="C27" s="26">
        <f t="shared" si="0"/>
        <v>0</v>
      </c>
      <c r="D27" s="53">
        <f t="shared" si="3"/>
        <v>0</v>
      </c>
      <c r="E27" s="34">
        <f t="shared" si="1"/>
        <v>0</v>
      </c>
      <c r="F27" s="41">
        <f t="shared" si="6"/>
        <v>2023</v>
      </c>
      <c r="G27" s="55">
        <f t="shared" si="4"/>
        <v>0</v>
      </c>
      <c r="H27" s="56"/>
      <c r="I27" s="54">
        <f t="shared" si="2"/>
        <v>0</v>
      </c>
    </row>
    <row r="28" spans="1:11" x14ac:dyDescent="0.25">
      <c r="B28" s="42">
        <f t="shared" si="5"/>
        <v>2024</v>
      </c>
      <c r="C28" s="26">
        <f t="shared" si="0"/>
        <v>0</v>
      </c>
      <c r="D28" s="53">
        <f t="shared" si="3"/>
        <v>0</v>
      </c>
      <c r="E28" s="34">
        <f t="shared" si="1"/>
        <v>0</v>
      </c>
      <c r="F28" s="41">
        <f t="shared" si="6"/>
        <v>2024</v>
      </c>
      <c r="G28" s="55">
        <f t="shared" si="4"/>
        <v>0</v>
      </c>
      <c r="H28" s="56"/>
      <c r="I28" s="54">
        <f t="shared" si="2"/>
        <v>0</v>
      </c>
    </row>
    <row r="29" spans="1:11" x14ac:dyDescent="0.25">
      <c r="B29" s="42">
        <f t="shared" si="5"/>
        <v>2025</v>
      </c>
      <c r="C29" s="26">
        <f t="shared" si="0"/>
        <v>0</v>
      </c>
      <c r="D29" s="53">
        <f t="shared" si="3"/>
        <v>0</v>
      </c>
      <c r="E29" s="34">
        <f t="shared" si="1"/>
        <v>0</v>
      </c>
      <c r="F29" s="41">
        <f t="shared" si="6"/>
        <v>2025</v>
      </c>
      <c r="G29" s="55">
        <f t="shared" si="4"/>
        <v>0</v>
      </c>
      <c r="H29" s="56"/>
      <c r="I29" s="54">
        <f t="shared" si="2"/>
        <v>0</v>
      </c>
    </row>
    <row r="30" spans="1:11" x14ac:dyDescent="0.25">
      <c r="B30" s="42">
        <f t="shared" si="5"/>
        <v>2026</v>
      </c>
      <c r="C30" s="26">
        <f t="shared" si="0"/>
        <v>0</v>
      </c>
      <c r="D30" s="53">
        <f t="shared" si="3"/>
        <v>0</v>
      </c>
      <c r="E30" s="34">
        <f t="shared" si="1"/>
        <v>0</v>
      </c>
      <c r="F30" s="41">
        <f t="shared" si="6"/>
        <v>2026</v>
      </c>
      <c r="G30" s="55">
        <f t="shared" si="4"/>
        <v>0</v>
      </c>
      <c r="H30" s="56"/>
      <c r="I30" s="54">
        <f t="shared" si="2"/>
        <v>0</v>
      </c>
    </row>
    <row r="31" spans="1:11" x14ac:dyDescent="0.25">
      <c r="B31" s="42">
        <f t="shared" si="5"/>
        <v>2027</v>
      </c>
      <c r="C31" s="26">
        <f t="shared" si="0"/>
        <v>0</v>
      </c>
      <c r="D31" s="53">
        <f t="shared" si="3"/>
        <v>0</v>
      </c>
      <c r="E31" s="34">
        <f t="shared" si="1"/>
        <v>0</v>
      </c>
      <c r="F31" s="41">
        <f t="shared" si="6"/>
        <v>2027</v>
      </c>
      <c r="G31" s="55">
        <f t="shared" si="4"/>
        <v>0</v>
      </c>
      <c r="H31" s="56"/>
      <c r="I31" s="54">
        <f t="shared" si="2"/>
        <v>0</v>
      </c>
    </row>
    <row r="32" spans="1:11" ht="15.75" thickBot="1" x14ac:dyDescent="0.3">
      <c r="B32" s="35"/>
      <c r="C32" s="36">
        <f>SUM(C21:C31)</f>
        <v>180000</v>
      </c>
      <c r="D32" s="37" t="s">
        <v>19</v>
      </c>
      <c r="E32" s="52">
        <f>SUM(E21:E31)</f>
        <v>108000</v>
      </c>
      <c r="F32" s="35"/>
      <c r="G32" s="57">
        <f>SUM(G21:G31)</f>
        <v>180000</v>
      </c>
      <c r="H32" s="58" t="s">
        <v>19</v>
      </c>
      <c r="I32" s="59">
        <f>SUM(I21:I31)</f>
        <v>43200</v>
      </c>
    </row>
    <row r="33" spans="2:11" ht="15.75" thickBot="1" x14ac:dyDescent="0.3">
      <c r="B33" s="14"/>
      <c r="C33" s="15"/>
      <c r="E33" s="4"/>
    </row>
    <row r="34" spans="2:11" x14ac:dyDescent="0.25">
      <c r="B34" s="116" t="s">
        <v>48</v>
      </c>
      <c r="C34" s="117"/>
      <c r="D34" s="117"/>
      <c r="E34" s="117"/>
      <c r="F34" s="117"/>
      <c r="G34" s="117"/>
      <c r="H34" s="117"/>
      <c r="I34" s="118"/>
    </row>
    <row r="35" spans="2:11" x14ac:dyDescent="0.25">
      <c r="B35" s="39" t="s">
        <v>7</v>
      </c>
      <c r="C35" s="6" t="s">
        <v>45</v>
      </c>
      <c r="D35" s="6" t="s">
        <v>9</v>
      </c>
      <c r="E35" s="6" t="s">
        <v>10</v>
      </c>
      <c r="F35" s="6" t="s">
        <v>18</v>
      </c>
      <c r="G35" s="6" t="s">
        <v>15</v>
      </c>
      <c r="H35" s="7" t="s">
        <v>11</v>
      </c>
      <c r="I35" s="61" t="s">
        <v>58</v>
      </c>
    </row>
    <row r="36" spans="2:11" x14ac:dyDescent="0.25">
      <c r="B36" s="62"/>
      <c r="C36" s="62"/>
      <c r="D36" s="62"/>
      <c r="E36" s="62"/>
      <c r="F36" s="62"/>
      <c r="G36" s="62"/>
      <c r="H36" s="63">
        <f>+B10</f>
        <v>50000</v>
      </c>
      <c r="I36" s="64"/>
    </row>
    <row r="37" spans="2:11" x14ac:dyDescent="0.25">
      <c r="B37" s="65">
        <f>+B15</f>
        <v>2019</v>
      </c>
      <c r="C37" s="49">
        <f>IF(H36&gt;0,$H$36,0)</f>
        <v>50000</v>
      </c>
      <c r="D37" s="29">
        <f>IF(AND(B37=$B$14,B16="si"),$B$12/2,$B$12)</f>
        <v>0.1</v>
      </c>
      <c r="E37" s="49">
        <f>IF(H36&lt;C37*D37,H36,C37*D37)</f>
        <v>5000</v>
      </c>
      <c r="F37" s="50">
        <f t="shared" ref="F37:F47" si="7">IF(OR(B37=$B$14,E37=0),0,G36)</f>
        <v>0</v>
      </c>
      <c r="G37" s="66">
        <f>IF(F37=0,E37,F37+E37)</f>
        <v>5000</v>
      </c>
      <c r="H37" s="66">
        <f>C37-G37</f>
        <v>45000</v>
      </c>
      <c r="I37" s="51">
        <f t="shared" ref="I37:I47" si="8">+E37*$B$17</f>
        <v>1200</v>
      </c>
      <c r="K37" s="4"/>
    </row>
    <row r="38" spans="2:11" x14ac:dyDescent="0.25">
      <c r="B38" s="67">
        <f>B37+1</f>
        <v>2020</v>
      </c>
      <c r="C38" s="49">
        <f t="shared" ref="C38:C47" si="9">IF(H37&gt;0,$H$36,0)</f>
        <v>50000</v>
      </c>
      <c r="D38" s="29">
        <f>IF(AND(B38=$B$14,B16="si"),$B$12/2,$B$12)</f>
        <v>0.2</v>
      </c>
      <c r="E38" s="49">
        <f>IF(H37&lt;C38*D38,H37,C38*D38)</f>
        <v>10000</v>
      </c>
      <c r="F38" s="50">
        <f t="shared" si="7"/>
        <v>5000</v>
      </c>
      <c r="G38" s="66">
        <f t="shared" ref="G38:G44" si="10">IF(F38=0,E38,F38+E38)</f>
        <v>15000</v>
      </c>
      <c r="H38" s="66">
        <f t="shared" ref="H38:H47" si="11">C38-G38</f>
        <v>35000</v>
      </c>
      <c r="I38" s="51">
        <f t="shared" si="8"/>
        <v>2400</v>
      </c>
    </row>
    <row r="39" spans="2:11" x14ac:dyDescent="0.25">
      <c r="B39" s="67">
        <f t="shared" ref="B39:B47" si="12">B38+1</f>
        <v>2021</v>
      </c>
      <c r="C39" s="49">
        <f t="shared" si="9"/>
        <v>50000</v>
      </c>
      <c r="D39" s="29">
        <f>IF(AND(B39=$B$14,B16="si"),$B$12/2,$B$12)</f>
        <v>0.2</v>
      </c>
      <c r="E39" s="49">
        <f>IF(H38&lt;C39*D39,H38,C39*D39)</f>
        <v>10000</v>
      </c>
      <c r="F39" s="50">
        <f t="shared" si="7"/>
        <v>15000</v>
      </c>
      <c r="G39" s="66">
        <f t="shared" si="10"/>
        <v>25000</v>
      </c>
      <c r="H39" s="66">
        <f t="shared" si="11"/>
        <v>25000</v>
      </c>
      <c r="I39" s="51">
        <f t="shared" si="8"/>
        <v>2400</v>
      </c>
    </row>
    <row r="40" spans="2:11" x14ac:dyDescent="0.25">
      <c r="B40" s="67">
        <f t="shared" si="12"/>
        <v>2022</v>
      </c>
      <c r="C40" s="49">
        <f t="shared" si="9"/>
        <v>50000</v>
      </c>
      <c r="D40" s="29">
        <f>IF(AND(B40=$B$14,B16="si"),$B$12/2,$B$12)</f>
        <v>0.2</v>
      </c>
      <c r="E40" s="49">
        <f t="shared" ref="E40:E47" si="13">IF(H39&lt;C40*D40,H39,C40*D40)</f>
        <v>10000</v>
      </c>
      <c r="F40" s="50">
        <f t="shared" si="7"/>
        <v>25000</v>
      </c>
      <c r="G40" s="66">
        <f t="shared" si="10"/>
        <v>35000</v>
      </c>
      <c r="H40" s="66">
        <f t="shared" si="11"/>
        <v>15000</v>
      </c>
      <c r="I40" s="51">
        <f t="shared" si="8"/>
        <v>2400</v>
      </c>
    </row>
    <row r="41" spans="2:11" x14ac:dyDescent="0.25">
      <c r="B41" s="67">
        <f t="shared" si="12"/>
        <v>2023</v>
      </c>
      <c r="C41" s="49">
        <f t="shared" si="9"/>
        <v>50000</v>
      </c>
      <c r="D41" s="29">
        <f>IF(AND(B41=$B$14,B16="si"),$B$12/2,$B$12)</f>
        <v>0.2</v>
      </c>
      <c r="E41" s="49">
        <f t="shared" si="13"/>
        <v>10000</v>
      </c>
      <c r="F41" s="50">
        <f t="shared" si="7"/>
        <v>35000</v>
      </c>
      <c r="G41" s="66">
        <f t="shared" si="10"/>
        <v>45000</v>
      </c>
      <c r="H41" s="66">
        <f t="shared" si="11"/>
        <v>5000</v>
      </c>
      <c r="I41" s="51">
        <f t="shared" si="8"/>
        <v>2400</v>
      </c>
    </row>
    <row r="42" spans="2:11" x14ac:dyDescent="0.25">
      <c r="B42" s="67">
        <f t="shared" si="12"/>
        <v>2024</v>
      </c>
      <c r="C42" s="49">
        <f t="shared" si="9"/>
        <v>50000</v>
      </c>
      <c r="D42" s="29">
        <f>IF(AND(B42=$B$14,B16="si"),$B$12/2,$B$12)</f>
        <v>0.2</v>
      </c>
      <c r="E42" s="49">
        <f t="shared" si="13"/>
        <v>5000</v>
      </c>
      <c r="F42" s="50">
        <f t="shared" si="7"/>
        <v>45000</v>
      </c>
      <c r="G42" s="66">
        <f t="shared" si="10"/>
        <v>50000</v>
      </c>
      <c r="H42" s="66">
        <f t="shared" si="11"/>
        <v>0</v>
      </c>
      <c r="I42" s="51">
        <f t="shared" si="8"/>
        <v>1200</v>
      </c>
    </row>
    <row r="43" spans="2:11" x14ac:dyDescent="0.25">
      <c r="B43" s="67">
        <f t="shared" si="12"/>
        <v>2025</v>
      </c>
      <c r="C43" s="49">
        <f t="shared" si="9"/>
        <v>0</v>
      </c>
      <c r="D43" s="29">
        <f>IF(AND(B43=$B$14,B16="si"),$B$12/2,$B$12)</f>
        <v>0.2</v>
      </c>
      <c r="E43" s="49">
        <f t="shared" si="13"/>
        <v>0</v>
      </c>
      <c r="F43" s="50">
        <f t="shared" si="7"/>
        <v>0</v>
      </c>
      <c r="G43" s="66">
        <f t="shared" si="10"/>
        <v>0</v>
      </c>
      <c r="H43" s="66">
        <f t="shared" si="11"/>
        <v>0</v>
      </c>
      <c r="I43" s="51">
        <f t="shared" si="8"/>
        <v>0</v>
      </c>
    </row>
    <row r="44" spans="2:11" x14ac:dyDescent="0.25">
      <c r="B44" s="67">
        <f t="shared" si="12"/>
        <v>2026</v>
      </c>
      <c r="C44" s="49">
        <f t="shared" si="9"/>
        <v>0</v>
      </c>
      <c r="D44" s="29">
        <f>IF(AND(B44=$B$14,B16="si"),$B$12/2,$B$12)</f>
        <v>0.2</v>
      </c>
      <c r="E44" s="49">
        <f>IF(H43&lt;C44*D44,H43,C44*D44)</f>
        <v>0</v>
      </c>
      <c r="F44" s="50">
        <f t="shared" si="7"/>
        <v>0</v>
      </c>
      <c r="G44" s="66">
        <f t="shared" si="10"/>
        <v>0</v>
      </c>
      <c r="H44" s="66">
        <f t="shared" si="11"/>
        <v>0</v>
      </c>
      <c r="I44" s="51">
        <f t="shared" si="8"/>
        <v>0</v>
      </c>
    </row>
    <row r="45" spans="2:11" x14ac:dyDescent="0.25">
      <c r="B45" s="67">
        <f t="shared" si="12"/>
        <v>2027</v>
      </c>
      <c r="C45" s="49">
        <f t="shared" si="9"/>
        <v>0</v>
      </c>
      <c r="D45" s="29">
        <f>IF(AND(B45=$B$14,B16="si"),$B$12/2,$B$12)</f>
        <v>0.2</v>
      </c>
      <c r="E45" s="49">
        <f t="shared" si="13"/>
        <v>0</v>
      </c>
      <c r="F45" s="50">
        <f t="shared" si="7"/>
        <v>0</v>
      </c>
      <c r="G45" s="66">
        <f t="shared" ref="G45:G47" si="14">F45+E45</f>
        <v>0</v>
      </c>
      <c r="H45" s="66">
        <f t="shared" si="11"/>
        <v>0</v>
      </c>
      <c r="I45" s="51">
        <f t="shared" si="8"/>
        <v>0</v>
      </c>
    </row>
    <row r="46" spans="2:11" x14ac:dyDescent="0.25">
      <c r="B46" s="67">
        <f t="shared" si="12"/>
        <v>2028</v>
      </c>
      <c r="C46" s="49">
        <f t="shared" si="9"/>
        <v>0</v>
      </c>
      <c r="D46" s="29">
        <f>IF(AND(B46=$B$14,B16="si"),$B$12/2,$B$12)</f>
        <v>0.2</v>
      </c>
      <c r="E46" s="49">
        <f t="shared" si="13"/>
        <v>0</v>
      </c>
      <c r="F46" s="50">
        <f t="shared" si="7"/>
        <v>0</v>
      </c>
      <c r="G46" s="66">
        <f t="shared" si="14"/>
        <v>0</v>
      </c>
      <c r="H46" s="66">
        <f t="shared" si="11"/>
        <v>0</v>
      </c>
      <c r="I46" s="51">
        <f t="shared" si="8"/>
        <v>0</v>
      </c>
    </row>
    <row r="47" spans="2:11" x14ac:dyDescent="0.25">
      <c r="B47" s="67">
        <f t="shared" si="12"/>
        <v>2029</v>
      </c>
      <c r="C47" s="49">
        <f t="shared" si="9"/>
        <v>0</v>
      </c>
      <c r="D47" s="29">
        <f>IF(AND(B47=$B$14,B16="si"),$B$12/2,$B$12)</f>
        <v>0.2</v>
      </c>
      <c r="E47" s="49">
        <f t="shared" si="13"/>
        <v>0</v>
      </c>
      <c r="F47" s="50">
        <f t="shared" si="7"/>
        <v>0</v>
      </c>
      <c r="G47" s="66">
        <f t="shared" si="14"/>
        <v>0</v>
      </c>
      <c r="H47" s="66">
        <f t="shared" si="11"/>
        <v>0</v>
      </c>
      <c r="I47" s="51">
        <f t="shared" si="8"/>
        <v>0</v>
      </c>
    </row>
    <row r="48" spans="2:11" ht="15.75" thickBot="1" x14ac:dyDescent="0.3">
      <c r="B48" s="35"/>
      <c r="C48" s="47"/>
      <c r="D48" s="37" t="s">
        <v>19</v>
      </c>
      <c r="E48" s="46">
        <f>SUM(E37:E47)</f>
        <v>50000</v>
      </c>
      <c r="F48" s="47"/>
      <c r="G48" s="47"/>
      <c r="H48" s="48" t="s">
        <v>19</v>
      </c>
      <c r="I48" s="52">
        <f>SUM(I37:I47)</f>
        <v>12000</v>
      </c>
    </row>
    <row r="49" spans="2:10" ht="15.75" thickBot="1" x14ac:dyDescent="0.3"/>
    <row r="50" spans="2:10" x14ac:dyDescent="0.25">
      <c r="B50" s="119" t="s">
        <v>62</v>
      </c>
      <c r="C50" s="120"/>
      <c r="D50" s="120"/>
      <c r="E50" s="120"/>
      <c r="F50" s="120"/>
      <c r="G50" s="120"/>
      <c r="H50" s="120"/>
      <c r="I50" s="121"/>
    </row>
    <row r="51" spans="2:10" x14ac:dyDescent="0.25">
      <c r="B51" s="32" t="s">
        <v>7</v>
      </c>
      <c r="C51" s="28" t="s">
        <v>38</v>
      </c>
      <c r="D51" s="28" t="s">
        <v>9</v>
      </c>
      <c r="E51" s="28" t="s">
        <v>10</v>
      </c>
      <c r="F51" s="28" t="s">
        <v>14</v>
      </c>
      <c r="G51" s="28" t="s">
        <v>15</v>
      </c>
      <c r="H51" s="28" t="s">
        <v>11</v>
      </c>
      <c r="I51" s="33" t="s">
        <v>58</v>
      </c>
    </row>
    <row r="52" spans="2:10" x14ac:dyDescent="0.25">
      <c r="B52" s="68"/>
      <c r="C52" s="62"/>
      <c r="D52" s="62"/>
      <c r="E52" s="62"/>
      <c r="F52" s="62"/>
      <c r="G52" s="62"/>
      <c r="H52" s="62">
        <f>+B7</f>
        <v>20000</v>
      </c>
      <c r="I52" s="69"/>
    </row>
    <row r="53" spans="2:10" x14ac:dyDescent="0.25">
      <c r="B53" s="70">
        <f>+B37</f>
        <v>2019</v>
      </c>
      <c r="C53" s="49">
        <f>IF(H52&gt;0,$H$52,0)</f>
        <v>20000</v>
      </c>
      <c r="D53" s="29">
        <f>+D37</f>
        <v>0.1</v>
      </c>
      <c r="E53" s="49">
        <f t="shared" ref="E53:E59" si="15">IF(H52&lt;C53*D53,H52,C53*D53)</f>
        <v>2000</v>
      </c>
      <c r="F53" s="50">
        <f t="shared" ref="F53:F63" si="16">IF(OR(B53=$B$14,E53=0),0,G52)</f>
        <v>0</v>
      </c>
      <c r="G53" s="49">
        <f>IF(F53=0,E53,F53+E53)</f>
        <v>2000</v>
      </c>
      <c r="H53" s="49">
        <f>C53-G53</f>
        <v>18000</v>
      </c>
      <c r="I53" s="54">
        <f t="shared" ref="I53:I63" si="17">+E53*$B$17</f>
        <v>480</v>
      </c>
      <c r="J53" s="8"/>
    </row>
    <row r="54" spans="2:10" x14ac:dyDescent="0.25">
      <c r="B54" s="70">
        <f>B53+1</f>
        <v>2020</v>
      </c>
      <c r="C54" s="49">
        <f>IF(H53&gt;0,$H$52,0)</f>
        <v>20000</v>
      </c>
      <c r="D54" s="29">
        <f t="shared" ref="D54:D63" si="18">+D38</f>
        <v>0.2</v>
      </c>
      <c r="E54" s="49">
        <f t="shared" si="15"/>
        <v>4000</v>
      </c>
      <c r="F54" s="50">
        <f t="shared" si="16"/>
        <v>2000</v>
      </c>
      <c r="G54" s="49">
        <f t="shared" ref="G54:G63" si="19">IF(F54=0,E54,F54+E54)</f>
        <v>6000</v>
      </c>
      <c r="H54" s="49">
        <f t="shared" ref="H54:H63" si="20">C54-G54</f>
        <v>14000</v>
      </c>
      <c r="I54" s="54">
        <f t="shared" si="17"/>
        <v>960</v>
      </c>
    </row>
    <row r="55" spans="2:10" x14ac:dyDescent="0.25">
      <c r="B55" s="70">
        <f t="shared" ref="B55:B63" si="21">B54+1</f>
        <v>2021</v>
      </c>
      <c r="C55" s="49">
        <f t="shared" ref="C55:C63" si="22">IF(H54&gt;0,$H$52,0)</f>
        <v>20000</v>
      </c>
      <c r="D55" s="29">
        <f t="shared" si="18"/>
        <v>0.2</v>
      </c>
      <c r="E55" s="49">
        <f t="shared" si="15"/>
        <v>4000</v>
      </c>
      <c r="F55" s="50">
        <f t="shared" si="16"/>
        <v>6000</v>
      </c>
      <c r="G55" s="49">
        <f t="shared" si="19"/>
        <v>10000</v>
      </c>
      <c r="H55" s="49">
        <f t="shared" si="20"/>
        <v>10000</v>
      </c>
      <c r="I55" s="54">
        <f t="shared" si="17"/>
        <v>960</v>
      </c>
    </row>
    <row r="56" spans="2:10" x14ac:dyDescent="0.25">
      <c r="B56" s="70">
        <f t="shared" si="21"/>
        <v>2022</v>
      </c>
      <c r="C56" s="49">
        <f t="shared" si="22"/>
        <v>20000</v>
      </c>
      <c r="D56" s="29">
        <f t="shared" si="18"/>
        <v>0.2</v>
      </c>
      <c r="E56" s="49">
        <f t="shared" si="15"/>
        <v>4000</v>
      </c>
      <c r="F56" s="50">
        <f t="shared" si="16"/>
        <v>10000</v>
      </c>
      <c r="G56" s="49">
        <f t="shared" si="19"/>
        <v>14000</v>
      </c>
      <c r="H56" s="49">
        <f t="shared" si="20"/>
        <v>6000</v>
      </c>
      <c r="I56" s="54">
        <f t="shared" si="17"/>
        <v>960</v>
      </c>
    </row>
    <row r="57" spans="2:10" x14ac:dyDescent="0.25">
      <c r="B57" s="70">
        <f t="shared" si="21"/>
        <v>2023</v>
      </c>
      <c r="C57" s="49">
        <f t="shared" si="22"/>
        <v>20000</v>
      </c>
      <c r="D57" s="29">
        <f t="shared" si="18"/>
        <v>0.2</v>
      </c>
      <c r="E57" s="49">
        <f t="shared" si="15"/>
        <v>4000</v>
      </c>
      <c r="F57" s="50">
        <f t="shared" si="16"/>
        <v>14000</v>
      </c>
      <c r="G57" s="49">
        <f t="shared" si="19"/>
        <v>18000</v>
      </c>
      <c r="H57" s="49">
        <f t="shared" si="20"/>
        <v>2000</v>
      </c>
      <c r="I57" s="54">
        <f t="shared" si="17"/>
        <v>960</v>
      </c>
    </row>
    <row r="58" spans="2:10" x14ac:dyDescent="0.25">
      <c r="B58" s="70">
        <f t="shared" si="21"/>
        <v>2024</v>
      </c>
      <c r="C58" s="49">
        <f t="shared" si="22"/>
        <v>20000</v>
      </c>
      <c r="D58" s="29">
        <f t="shared" si="18"/>
        <v>0.2</v>
      </c>
      <c r="E58" s="49">
        <f t="shared" si="15"/>
        <v>2000</v>
      </c>
      <c r="F58" s="50">
        <f t="shared" si="16"/>
        <v>18000</v>
      </c>
      <c r="G58" s="49">
        <f t="shared" si="19"/>
        <v>20000</v>
      </c>
      <c r="H58" s="49">
        <f t="shared" si="20"/>
        <v>0</v>
      </c>
      <c r="I58" s="54">
        <f t="shared" si="17"/>
        <v>480</v>
      </c>
    </row>
    <row r="59" spans="2:10" x14ac:dyDescent="0.25">
      <c r="B59" s="70">
        <f t="shared" si="21"/>
        <v>2025</v>
      </c>
      <c r="C59" s="49">
        <f t="shared" si="22"/>
        <v>0</v>
      </c>
      <c r="D59" s="29">
        <f t="shared" si="18"/>
        <v>0.2</v>
      </c>
      <c r="E59" s="49">
        <f t="shared" si="15"/>
        <v>0</v>
      </c>
      <c r="F59" s="50">
        <f t="shared" si="16"/>
        <v>0</v>
      </c>
      <c r="G59" s="49">
        <f>IF(F59=0,E59,F59+E59)</f>
        <v>0</v>
      </c>
      <c r="H59" s="49">
        <f t="shared" si="20"/>
        <v>0</v>
      </c>
      <c r="I59" s="54">
        <f t="shared" si="17"/>
        <v>0</v>
      </c>
    </row>
    <row r="60" spans="2:10" x14ac:dyDescent="0.25">
      <c r="B60" s="70">
        <f t="shared" si="21"/>
        <v>2026</v>
      </c>
      <c r="C60" s="49">
        <f t="shared" si="22"/>
        <v>0</v>
      </c>
      <c r="D60" s="29">
        <f t="shared" si="18"/>
        <v>0.2</v>
      </c>
      <c r="E60" s="49">
        <f>IF(H59&lt;C60*D60,H59,C60*D60)</f>
        <v>0</v>
      </c>
      <c r="F60" s="50">
        <f t="shared" si="16"/>
        <v>0</v>
      </c>
      <c r="G60" s="49">
        <f t="shared" si="19"/>
        <v>0</v>
      </c>
      <c r="H60" s="49">
        <f t="shared" si="20"/>
        <v>0</v>
      </c>
      <c r="I60" s="54">
        <f t="shared" si="17"/>
        <v>0</v>
      </c>
    </row>
    <row r="61" spans="2:10" x14ac:dyDescent="0.25">
      <c r="B61" s="70">
        <f t="shared" si="21"/>
        <v>2027</v>
      </c>
      <c r="C61" s="49">
        <f t="shared" si="22"/>
        <v>0</v>
      </c>
      <c r="D61" s="29">
        <f t="shared" si="18"/>
        <v>0.2</v>
      </c>
      <c r="E61" s="49">
        <f>IF(H60&lt;C61*D61,H44,C61*D61)</f>
        <v>0</v>
      </c>
      <c r="F61" s="50">
        <f t="shared" si="16"/>
        <v>0</v>
      </c>
      <c r="G61" s="49">
        <f t="shared" si="19"/>
        <v>0</v>
      </c>
      <c r="H61" s="49">
        <f t="shared" si="20"/>
        <v>0</v>
      </c>
      <c r="I61" s="54">
        <f t="shared" si="17"/>
        <v>0</v>
      </c>
    </row>
    <row r="62" spans="2:10" x14ac:dyDescent="0.25">
      <c r="B62" s="70">
        <f t="shared" si="21"/>
        <v>2028</v>
      </c>
      <c r="C62" s="49">
        <f t="shared" si="22"/>
        <v>0</v>
      </c>
      <c r="D62" s="29">
        <f t="shared" si="18"/>
        <v>0.2</v>
      </c>
      <c r="E62" s="49">
        <f>IF(H61&lt;C62*D62,H45,C62*D62)</f>
        <v>0</v>
      </c>
      <c r="F62" s="50">
        <f t="shared" si="16"/>
        <v>0</v>
      </c>
      <c r="G62" s="49">
        <f t="shared" si="19"/>
        <v>0</v>
      </c>
      <c r="H62" s="49">
        <f t="shared" si="20"/>
        <v>0</v>
      </c>
      <c r="I62" s="54">
        <f t="shared" si="17"/>
        <v>0</v>
      </c>
    </row>
    <row r="63" spans="2:10" x14ac:dyDescent="0.25">
      <c r="B63" s="70">
        <f t="shared" si="21"/>
        <v>2029</v>
      </c>
      <c r="C63" s="49">
        <f t="shared" si="22"/>
        <v>0</v>
      </c>
      <c r="D63" s="29">
        <f t="shared" si="18"/>
        <v>0.2</v>
      </c>
      <c r="E63" s="49">
        <f>IF(H62&lt;C63*D63,H46,C63*D63)</f>
        <v>0</v>
      </c>
      <c r="F63" s="50">
        <f t="shared" si="16"/>
        <v>0</v>
      </c>
      <c r="G63" s="49">
        <f t="shared" si="19"/>
        <v>0</v>
      </c>
      <c r="H63" s="49">
        <f t="shared" si="20"/>
        <v>0</v>
      </c>
      <c r="I63" s="54">
        <f t="shared" si="17"/>
        <v>0</v>
      </c>
    </row>
    <row r="64" spans="2:10" ht="15.75" thickBot="1" x14ac:dyDescent="0.3">
      <c r="B64" s="71"/>
      <c r="C64" s="72"/>
      <c r="D64" s="73" t="s">
        <v>19</v>
      </c>
      <c r="E64" s="74">
        <f>SUM(E53:E63)</f>
        <v>20000</v>
      </c>
      <c r="F64" s="75"/>
      <c r="G64" s="75"/>
      <c r="H64" s="76" t="s">
        <v>19</v>
      </c>
      <c r="I64" s="77">
        <f>SUM(I53:I63)</f>
        <v>4800</v>
      </c>
    </row>
    <row r="65" spans="1:9" x14ac:dyDescent="0.25">
      <c r="I65" s="31"/>
    </row>
    <row r="66" spans="1:9" ht="48.75" customHeight="1" x14ac:dyDescent="0.25">
      <c r="A66" s="96" t="s">
        <v>50</v>
      </c>
      <c r="B66" s="43">
        <f>(E32-I32)+(I48-I64)</f>
        <v>72000</v>
      </c>
    </row>
    <row r="68" spans="1:9" x14ac:dyDescent="0.25">
      <c r="B68" s="44">
        <f>B66/(I32+I64)</f>
        <v>1.5</v>
      </c>
    </row>
  </sheetData>
  <sheetProtection password="D254" sheet="1" objects="1" scenarios="1" selectLockedCells="1"/>
  <mergeCells count="4">
    <mergeCell ref="B18:E18"/>
    <mergeCell ref="F18:I18"/>
    <mergeCell ref="B34:I34"/>
    <mergeCell ref="B50:I50"/>
  </mergeCells>
  <dataValidations disablePrompts="1" count="1">
    <dataValidation type="list" allowBlank="1" showInputMessage="1" showErrorMessage="1" sqref="B16">
      <formula1>mezza_aliquota_primo_anno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5124" r:id="rId4">
          <objectPr locked="0" defaultSize="0" r:id="rId5">
            <anchor moveWithCells="1">
              <from>
                <xdr:col>0</xdr:col>
                <xdr:colOff>1104900</xdr:colOff>
                <xdr:row>22</xdr:row>
                <xdr:rowOff>104775</xdr:rowOff>
              </from>
              <to>
                <xdr:col>0</xdr:col>
                <xdr:colOff>2019300</xdr:colOff>
                <xdr:row>26</xdr:row>
                <xdr:rowOff>28575</xdr:rowOff>
              </to>
            </anchor>
          </objectPr>
        </oleObject>
      </mc:Choice>
      <mc:Fallback>
        <oleObject progId="AcroExch.Document.DC" dvAspect="DVASPECT_ICON" shapeId="512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workbookViewId="0">
      <selection activeCell="B8" sqref="B8"/>
    </sheetView>
  </sheetViews>
  <sheetFormatPr defaultRowHeight="15" x14ac:dyDescent="0.25"/>
  <cols>
    <col min="1" max="1" width="39.42578125" customWidth="1"/>
    <col min="2" max="2" width="32.5703125" customWidth="1"/>
    <col min="3" max="3" width="29.28515625" hidden="1" customWidth="1"/>
    <col min="4" max="4" width="22.28515625" hidden="1" customWidth="1"/>
    <col min="5" max="5" width="21.140625" hidden="1" customWidth="1"/>
    <col min="6" max="6" width="23.140625" hidden="1" customWidth="1"/>
    <col min="7" max="7" width="22.85546875" hidden="1" customWidth="1"/>
    <col min="8" max="8" width="21.5703125" hidden="1" customWidth="1"/>
    <col min="9" max="9" width="27.5703125" customWidth="1"/>
    <col min="10" max="10" width="9.5703125" customWidth="1"/>
  </cols>
  <sheetData>
    <row r="1" spans="1:9" x14ac:dyDescent="0.25">
      <c r="A1" s="22" t="s">
        <v>55</v>
      </c>
    </row>
    <row r="2" spans="1:9" x14ac:dyDescent="0.25">
      <c r="A2" s="22"/>
    </row>
    <row r="3" spans="1:9" x14ac:dyDescent="0.25">
      <c r="A3" s="105" t="s">
        <v>6</v>
      </c>
      <c r="F3" s="95"/>
    </row>
    <row r="4" spans="1:9" x14ac:dyDescent="0.25">
      <c r="E4" s="4"/>
      <c r="F4" s="4"/>
      <c r="G4" s="4"/>
      <c r="H4" s="4"/>
    </row>
    <row r="5" spans="1:9" x14ac:dyDescent="0.25">
      <c r="A5" s="2"/>
      <c r="B5" s="3"/>
      <c r="E5" s="4"/>
      <c r="F5" s="4"/>
      <c r="G5" s="4"/>
      <c r="H5" s="4"/>
    </row>
    <row r="6" spans="1:9" x14ac:dyDescent="0.25">
      <c r="A6" s="5" t="s">
        <v>0</v>
      </c>
      <c r="B6" s="109">
        <v>200000</v>
      </c>
      <c r="E6" s="4"/>
      <c r="F6" s="24"/>
      <c r="G6" s="25"/>
      <c r="H6" s="4"/>
    </row>
    <row r="7" spans="1:9" x14ac:dyDescent="0.25">
      <c r="A7" s="1" t="s">
        <v>1</v>
      </c>
      <c r="B7" s="92">
        <f>B6*(1+40%)</f>
        <v>280000</v>
      </c>
      <c r="E7" s="4"/>
      <c r="F7" s="24"/>
      <c r="G7" s="25"/>
      <c r="H7" s="4"/>
    </row>
    <row r="8" spans="1:9" x14ac:dyDescent="0.25">
      <c r="A8" s="1" t="s">
        <v>4</v>
      </c>
      <c r="B8" s="110">
        <v>2017</v>
      </c>
      <c r="E8" s="4"/>
      <c r="F8" s="24"/>
      <c r="G8" s="4"/>
      <c r="H8" s="4"/>
    </row>
    <row r="9" spans="1:9" x14ac:dyDescent="0.25">
      <c r="A9" s="1" t="s">
        <v>2</v>
      </c>
      <c r="B9" s="108">
        <v>0.2</v>
      </c>
      <c r="D9" s="21"/>
      <c r="E9" s="4"/>
      <c r="F9" s="4"/>
      <c r="G9" s="4"/>
      <c r="H9" s="4"/>
    </row>
    <row r="10" spans="1:9" hidden="1" x14ac:dyDescent="0.25">
      <c r="A10" s="1" t="s">
        <v>3</v>
      </c>
      <c r="B10" s="11">
        <v>2017</v>
      </c>
      <c r="D10" s="12"/>
    </row>
    <row r="11" spans="1:9" hidden="1" x14ac:dyDescent="0.25">
      <c r="A11" s="13" t="s">
        <v>12</v>
      </c>
      <c r="B11" s="17" t="s">
        <v>13</v>
      </c>
      <c r="D11" s="9"/>
      <c r="I11" s="4"/>
    </row>
    <row r="12" spans="1:9" x14ac:dyDescent="0.25">
      <c r="A12" s="2" t="s">
        <v>5</v>
      </c>
      <c r="B12" s="100">
        <v>0.24</v>
      </c>
      <c r="E12" s="4"/>
    </row>
    <row r="13" spans="1:9" x14ac:dyDescent="0.25">
      <c r="B13" s="14"/>
      <c r="C13" s="15"/>
    </row>
    <row r="14" spans="1:9" x14ac:dyDescent="0.25">
      <c r="B14" s="14"/>
      <c r="C14" s="15"/>
    </row>
    <row r="15" spans="1:9" x14ac:dyDescent="0.25">
      <c r="B15" s="112" t="s">
        <v>47</v>
      </c>
      <c r="C15" s="112"/>
      <c r="D15" s="112"/>
      <c r="E15" s="112"/>
      <c r="F15" s="112"/>
      <c r="G15" s="112"/>
      <c r="H15" s="112"/>
      <c r="I15" s="112"/>
    </row>
    <row r="16" spans="1:9" x14ac:dyDescent="0.25">
      <c r="B16" s="28" t="s">
        <v>7</v>
      </c>
      <c r="C16" s="28" t="s">
        <v>17</v>
      </c>
      <c r="D16" s="28" t="s">
        <v>9</v>
      </c>
      <c r="E16" s="28" t="s">
        <v>10</v>
      </c>
      <c r="F16" s="28" t="s">
        <v>18</v>
      </c>
      <c r="G16" s="28" t="s">
        <v>15</v>
      </c>
      <c r="H16" s="28" t="s">
        <v>11</v>
      </c>
      <c r="I16" s="10" t="s">
        <v>22</v>
      </c>
    </row>
    <row r="17" spans="1:11" x14ac:dyDescent="0.25">
      <c r="A17" s="98" t="s">
        <v>57</v>
      </c>
      <c r="B17" s="62"/>
      <c r="C17" s="62"/>
      <c r="D17" s="62"/>
      <c r="E17" s="62"/>
      <c r="F17" s="62"/>
      <c r="G17" s="62"/>
      <c r="H17" s="63">
        <f>+B7</f>
        <v>280000</v>
      </c>
      <c r="I17" s="64"/>
    </row>
    <row r="18" spans="1:11" x14ac:dyDescent="0.25">
      <c r="B18" s="67">
        <f>+B10</f>
        <v>2017</v>
      </c>
      <c r="C18" s="49">
        <f>IF(H17&gt;0,$H$17,0)</f>
        <v>280000</v>
      </c>
      <c r="D18" s="29">
        <f>IF(AND(B18=$B$8,B11="si"),$B$9/2,$B$9)</f>
        <v>0.1</v>
      </c>
      <c r="E18" s="49">
        <f>IF(H17&lt;C18*D18,H17,C18*D18)</f>
        <v>28000</v>
      </c>
      <c r="F18" s="50">
        <f t="shared" ref="F18:F28" si="0">IF(OR(B18=$B$8,E18=0),0,G17)</f>
        <v>0</v>
      </c>
      <c r="G18" s="66">
        <f>IF(F18=0,E18,F18+E18)</f>
        <v>28000</v>
      </c>
      <c r="H18" s="66">
        <f>C18-G18</f>
        <v>252000</v>
      </c>
      <c r="I18" s="86">
        <f t="shared" ref="I18:I28" si="1">+E18*$B$12</f>
        <v>6720</v>
      </c>
      <c r="K18" s="4"/>
    </row>
    <row r="19" spans="1:11" x14ac:dyDescent="0.25">
      <c r="B19" s="67">
        <f>B18+1</f>
        <v>2018</v>
      </c>
      <c r="C19" s="49">
        <f t="shared" ref="C19:C28" si="2">IF(H18&gt;0,$H$17,0)</f>
        <v>280000</v>
      </c>
      <c r="D19" s="29">
        <f>IF(AND(B19=$B$8,B11="si"),$B$9/2,$B$9)</f>
        <v>0.2</v>
      </c>
      <c r="E19" s="49">
        <f>IF(H18&lt;C19*D19,H18,C19*D19)</f>
        <v>56000</v>
      </c>
      <c r="F19" s="50">
        <f t="shared" si="0"/>
        <v>28000</v>
      </c>
      <c r="G19" s="66">
        <f t="shared" ref="G19:G25" si="3">IF(F19=0,E19,F19+E19)</f>
        <v>84000</v>
      </c>
      <c r="H19" s="66">
        <f t="shared" ref="H19:H28" si="4">C19-G19</f>
        <v>196000</v>
      </c>
      <c r="I19" s="86">
        <f t="shared" si="1"/>
        <v>13440</v>
      </c>
    </row>
    <row r="20" spans="1:11" x14ac:dyDescent="0.25">
      <c r="B20" s="67">
        <f t="shared" ref="B20:B28" si="5">B19+1</f>
        <v>2019</v>
      </c>
      <c r="C20" s="49">
        <f t="shared" si="2"/>
        <v>280000</v>
      </c>
      <c r="D20" s="29">
        <f>IF(AND(B20=$B$8,B11="si"),$B$9/2,$B$9)</f>
        <v>0.2</v>
      </c>
      <c r="E20" s="49">
        <f t="shared" ref="E20:E28" si="6">IF(H19&lt;C20*D20,H19,C20*D20)</f>
        <v>56000</v>
      </c>
      <c r="F20" s="50">
        <f t="shared" si="0"/>
        <v>84000</v>
      </c>
      <c r="G20" s="66">
        <f t="shared" si="3"/>
        <v>140000</v>
      </c>
      <c r="H20" s="66">
        <f t="shared" si="4"/>
        <v>140000</v>
      </c>
      <c r="I20" s="86">
        <f t="shared" si="1"/>
        <v>13440</v>
      </c>
    </row>
    <row r="21" spans="1:11" x14ac:dyDescent="0.25">
      <c r="B21" s="67">
        <f t="shared" si="5"/>
        <v>2020</v>
      </c>
      <c r="C21" s="49">
        <f t="shared" si="2"/>
        <v>280000</v>
      </c>
      <c r="D21" s="29">
        <f>IF(AND(B21=$B$8,B11="si"),$B$9/2,$B$9)</f>
        <v>0.2</v>
      </c>
      <c r="E21" s="49">
        <f t="shared" si="6"/>
        <v>56000</v>
      </c>
      <c r="F21" s="50">
        <f t="shared" si="0"/>
        <v>140000</v>
      </c>
      <c r="G21" s="66">
        <f t="shared" si="3"/>
        <v>196000</v>
      </c>
      <c r="H21" s="66">
        <f t="shared" si="4"/>
        <v>84000</v>
      </c>
      <c r="I21" s="86">
        <f t="shared" si="1"/>
        <v>13440</v>
      </c>
    </row>
    <row r="22" spans="1:11" x14ac:dyDescent="0.25">
      <c r="B22" s="67">
        <f t="shared" si="5"/>
        <v>2021</v>
      </c>
      <c r="C22" s="49">
        <f t="shared" si="2"/>
        <v>280000</v>
      </c>
      <c r="D22" s="29">
        <f>IF(AND(B22=$B$8,B11="si"),$B$9/2,$B$9)</f>
        <v>0.2</v>
      </c>
      <c r="E22" s="49">
        <f t="shared" si="6"/>
        <v>56000</v>
      </c>
      <c r="F22" s="50">
        <f t="shared" si="0"/>
        <v>196000</v>
      </c>
      <c r="G22" s="66">
        <f t="shared" si="3"/>
        <v>252000</v>
      </c>
      <c r="H22" s="66">
        <f t="shared" si="4"/>
        <v>28000</v>
      </c>
      <c r="I22" s="86">
        <f t="shared" si="1"/>
        <v>13440</v>
      </c>
    </row>
    <row r="23" spans="1:11" x14ac:dyDescent="0.25">
      <c r="B23" s="67">
        <f t="shared" si="5"/>
        <v>2022</v>
      </c>
      <c r="C23" s="49">
        <f t="shared" si="2"/>
        <v>280000</v>
      </c>
      <c r="D23" s="29">
        <f>IF(AND(B23=$B$8,B11="si"),$B$9/2,$B$9)</f>
        <v>0.2</v>
      </c>
      <c r="E23" s="49">
        <f t="shared" si="6"/>
        <v>28000</v>
      </c>
      <c r="F23" s="50">
        <f t="shared" si="0"/>
        <v>252000</v>
      </c>
      <c r="G23" s="66">
        <f t="shared" si="3"/>
        <v>280000</v>
      </c>
      <c r="H23" s="66">
        <f t="shared" si="4"/>
        <v>0</v>
      </c>
      <c r="I23" s="86">
        <f t="shared" si="1"/>
        <v>6720</v>
      </c>
    </row>
    <row r="24" spans="1:11" x14ac:dyDescent="0.25">
      <c r="B24" s="67">
        <f t="shared" si="5"/>
        <v>2023</v>
      </c>
      <c r="C24" s="49">
        <f t="shared" si="2"/>
        <v>0</v>
      </c>
      <c r="D24" s="29">
        <f>IF(AND(B24=$B$8,B11="si"),$B$9/2,$B$9)</f>
        <v>0.2</v>
      </c>
      <c r="E24" s="49">
        <f t="shared" si="6"/>
        <v>0</v>
      </c>
      <c r="F24" s="50">
        <f t="shared" si="0"/>
        <v>0</v>
      </c>
      <c r="G24" s="66">
        <f t="shared" si="3"/>
        <v>0</v>
      </c>
      <c r="H24" s="66">
        <f t="shared" si="4"/>
        <v>0</v>
      </c>
      <c r="I24" s="86">
        <f t="shared" si="1"/>
        <v>0</v>
      </c>
    </row>
    <row r="25" spans="1:11" x14ac:dyDescent="0.25">
      <c r="B25" s="67">
        <f t="shared" si="5"/>
        <v>2024</v>
      </c>
      <c r="C25" s="49">
        <f t="shared" si="2"/>
        <v>0</v>
      </c>
      <c r="D25" s="29">
        <f>IF(AND(B25=$B$8,B11="si"),$B$9/2,$B$9)</f>
        <v>0.2</v>
      </c>
      <c r="E25" s="49">
        <f>IF(H24&lt;C25*D25,H24,C25*D25)</f>
        <v>0</v>
      </c>
      <c r="F25" s="50">
        <f t="shared" si="0"/>
        <v>0</v>
      </c>
      <c r="G25" s="66">
        <f t="shared" si="3"/>
        <v>0</v>
      </c>
      <c r="H25" s="66">
        <f t="shared" si="4"/>
        <v>0</v>
      </c>
      <c r="I25" s="86">
        <f t="shared" si="1"/>
        <v>0</v>
      </c>
    </row>
    <row r="26" spans="1:11" x14ac:dyDescent="0.25">
      <c r="B26" s="67">
        <f t="shared" si="5"/>
        <v>2025</v>
      </c>
      <c r="C26" s="49">
        <f t="shared" si="2"/>
        <v>0</v>
      </c>
      <c r="D26" s="29">
        <f>IF(AND(B26=$B$8,B11="si"),$B$9/2,$B$9)</f>
        <v>0.2</v>
      </c>
      <c r="E26" s="49">
        <f t="shared" si="6"/>
        <v>0</v>
      </c>
      <c r="F26" s="50">
        <f t="shared" si="0"/>
        <v>0</v>
      </c>
      <c r="G26" s="66">
        <f t="shared" ref="G26:G28" si="7">F26+E26</f>
        <v>0</v>
      </c>
      <c r="H26" s="66">
        <f t="shared" si="4"/>
        <v>0</v>
      </c>
      <c r="I26" s="86">
        <f t="shared" si="1"/>
        <v>0</v>
      </c>
    </row>
    <row r="27" spans="1:11" x14ac:dyDescent="0.25">
      <c r="B27" s="67">
        <f t="shared" si="5"/>
        <v>2026</v>
      </c>
      <c r="C27" s="49">
        <f t="shared" si="2"/>
        <v>0</v>
      </c>
      <c r="D27" s="29">
        <f>IF(AND(B27=$B$8,B11="si"),$B$9/2,$B$9)</f>
        <v>0.2</v>
      </c>
      <c r="E27" s="49">
        <f t="shared" si="6"/>
        <v>0</v>
      </c>
      <c r="F27" s="50">
        <f t="shared" si="0"/>
        <v>0</v>
      </c>
      <c r="G27" s="66">
        <f t="shared" si="7"/>
        <v>0</v>
      </c>
      <c r="H27" s="66">
        <f t="shared" si="4"/>
        <v>0</v>
      </c>
      <c r="I27" s="86">
        <f t="shared" si="1"/>
        <v>0</v>
      </c>
    </row>
    <row r="28" spans="1:11" x14ac:dyDescent="0.25">
      <c r="B28" s="67">
        <f t="shared" si="5"/>
        <v>2027</v>
      </c>
      <c r="C28" s="49">
        <f t="shared" si="2"/>
        <v>0</v>
      </c>
      <c r="D28" s="29">
        <f>IF(AND(B28=$B$8,B11="si"),$B$9/2,$B$9)</f>
        <v>0.2</v>
      </c>
      <c r="E28" s="49">
        <f t="shared" si="6"/>
        <v>0</v>
      </c>
      <c r="F28" s="50">
        <f t="shared" si="0"/>
        <v>0</v>
      </c>
      <c r="G28" s="66">
        <f t="shared" si="7"/>
        <v>0</v>
      </c>
      <c r="H28" s="66">
        <f t="shared" si="4"/>
        <v>0</v>
      </c>
      <c r="I28" s="86">
        <f t="shared" si="1"/>
        <v>0</v>
      </c>
    </row>
    <row r="29" spans="1:11" x14ac:dyDescent="0.25">
      <c r="B29" s="87"/>
      <c r="C29" s="87"/>
      <c r="D29" s="88" t="s">
        <v>19</v>
      </c>
      <c r="E29" s="89">
        <f>SUM(E18:E28)</f>
        <v>280000</v>
      </c>
      <c r="F29" s="87"/>
      <c r="G29" s="87"/>
      <c r="H29" s="28" t="s">
        <v>19</v>
      </c>
      <c r="I29" s="90">
        <f>SUM(I18:I28)</f>
        <v>67200</v>
      </c>
    </row>
    <row r="31" spans="1:11" x14ac:dyDescent="0.25">
      <c r="B31" s="112" t="s">
        <v>60</v>
      </c>
      <c r="C31" s="112"/>
      <c r="D31" s="112"/>
      <c r="E31" s="112"/>
      <c r="F31" s="112"/>
      <c r="G31" s="112"/>
      <c r="H31" s="112"/>
      <c r="I31" s="112"/>
    </row>
    <row r="32" spans="1:11" x14ac:dyDescent="0.25">
      <c r="B32" s="28" t="s">
        <v>7</v>
      </c>
      <c r="C32" s="28" t="s">
        <v>8</v>
      </c>
      <c r="D32" s="28" t="s">
        <v>9</v>
      </c>
      <c r="E32" s="28" t="s">
        <v>10</v>
      </c>
      <c r="F32" s="28" t="s">
        <v>14</v>
      </c>
      <c r="G32" s="28" t="s">
        <v>15</v>
      </c>
      <c r="H32" s="28" t="s">
        <v>11</v>
      </c>
      <c r="I32" s="10" t="s">
        <v>23</v>
      </c>
    </row>
    <row r="33" spans="1:10" x14ac:dyDescent="0.25">
      <c r="B33" s="62"/>
      <c r="C33" s="62"/>
      <c r="D33" s="62"/>
      <c r="E33" s="62"/>
      <c r="F33" s="62"/>
      <c r="G33" s="62"/>
      <c r="H33" s="63">
        <f>+B6</f>
        <v>200000</v>
      </c>
      <c r="I33" s="87"/>
    </row>
    <row r="34" spans="1:10" x14ac:dyDescent="0.25">
      <c r="B34" s="67">
        <f>+B18</f>
        <v>2017</v>
      </c>
      <c r="C34" s="49">
        <f t="shared" ref="C34:C44" si="8">IF(H33&gt;0,$H$33,0)</f>
        <v>200000</v>
      </c>
      <c r="D34" s="29">
        <f>IF(AND(B18=$B$8,B11="si"),$B$9/2,$B$9)</f>
        <v>0.1</v>
      </c>
      <c r="E34" s="49">
        <f t="shared" ref="E34:E40" si="9">IF(H33&lt;C34*D34,H33,C34*D34)</f>
        <v>20000</v>
      </c>
      <c r="F34" s="50">
        <f t="shared" ref="F34:F44" si="10">IF(OR(B34=$B$8,E34=0),0,G33)</f>
        <v>0</v>
      </c>
      <c r="G34" s="49">
        <f>IF(F34=0,E34,F34+E34)</f>
        <v>20000</v>
      </c>
      <c r="H34" s="49">
        <f>C34-G34</f>
        <v>180000</v>
      </c>
      <c r="I34" s="86">
        <f t="shared" ref="I34:I44" si="11">+E34*$B$12</f>
        <v>4800</v>
      </c>
      <c r="J34" s="8"/>
    </row>
    <row r="35" spans="1:10" x14ac:dyDescent="0.25">
      <c r="B35" s="67">
        <f>B34+1</f>
        <v>2018</v>
      </c>
      <c r="C35" s="49">
        <f t="shared" si="8"/>
        <v>200000</v>
      </c>
      <c r="D35" s="29">
        <f>IF(AND(B19=$B$8,B11="si"),$B$9/2,$B$9)</f>
        <v>0.2</v>
      </c>
      <c r="E35" s="49">
        <f t="shared" si="9"/>
        <v>40000</v>
      </c>
      <c r="F35" s="50">
        <f t="shared" si="10"/>
        <v>20000</v>
      </c>
      <c r="G35" s="49">
        <f t="shared" ref="G35:G44" si="12">IF(F35=0,E35,F35+E35)</f>
        <v>60000</v>
      </c>
      <c r="H35" s="49">
        <f t="shared" ref="H35:H44" si="13">C35-G35</f>
        <v>140000</v>
      </c>
      <c r="I35" s="86">
        <f t="shared" si="11"/>
        <v>9600</v>
      </c>
    </row>
    <row r="36" spans="1:10" x14ac:dyDescent="0.25">
      <c r="B36" s="67">
        <f t="shared" ref="B36:B44" si="14">B35+1</f>
        <v>2019</v>
      </c>
      <c r="C36" s="49">
        <f t="shared" si="8"/>
        <v>200000</v>
      </c>
      <c r="D36" s="29">
        <f>IF(AND(B20=$B$8,B11="si"),$B$9/2,$B$9)</f>
        <v>0.2</v>
      </c>
      <c r="E36" s="49">
        <f t="shared" si="9"/>
        <v>40000</v>
      </c>
      <c r="F36" s="50">
        <f t="shared" si="10"/>
        <v>60000</v>
      </c>
      <c r="G36" s="49">
        <f t="shared" si="12"/>
        <v>100000</v>
      </c>
      <c r="H36" s="49">
        <f t="shared" si="13"/>
        <v>100000</v>
      </c>
      <c r="I36" s="86">
        <f t="shared" si="11"/>
        <v>9600</v>
      </c>
    </row>
    <row r="37" spans="1:10" x14ac:dyDescent="0.25">
      <c r="B37" s="67">
        <f t="shared" si="14"/>
        <v>2020</v>
      </c>
      <c r="C37" s="49">
        <f t="shared" si="8"/>
        <v>200000</v>
      </c>
      <c r="D37" s="29">
        <f>IF(AND(B21=$B$8,B11="si"),$B$9/2,$B$9)</f>
        <v>0.2</v>
      </c>
      <c r="E37" s="49">
        <f t="shared" si="9"/>
        <v>40000</v>
      </c>
      <c r="F37" s="50">
        <f t="shared" si="10"/>
        <v>100000</v>
      </c>
      <c r="G37" s="49">
        <f t="shared" si="12"/>
        <v>140000</v>
      </c>
      <c r="H37" s="49">
        <f t="shared" si="13"/>
        <v>60000</v>
      </c>
      <c r="I37" s="86">
        <f t="shared" si="11"/>
        <v>9600</v>
      </c>
    </row>
    <row r="38" spans="1:10" x14ac:dyDescent="0.25">
      <c r="B38" s="67">
        <f t="shared" si="14"/>
        <v>2021</v>
      </c>
      <c r="C38" s="49">
        <f t="shared" si="8"/>
        <v>200000</v>
      </c>
      <c r="D38" s="29">
        <f>IF(AND(B22=$B$8,B11="si"),$B$9/2,$B$9)</f>
        <v>0.2</v>
      </c>
      <c r="E38" s="49">
        <f t="shared" si="9"/>
        <v>40000</v>
      </c>
      <c r="F38" s="50">
        <f t="shared" si="10"/>
        <v>140000</v>
      </c>
      <c r="G38" s="49">
        <f t="shared" si="12"/>
        <v>180000</v>
      </c>
      <c r="H38" s="49">
        <f t="shared" si="13"/>
        <v>20000</v>
      </c>
      <c r="I38" s="86">
        <f t="shared" si="11"/>
        <v>9600</v>
      </c>
    </row>
    <row r="39" spans="1:10" x14ac:dyDescent="0.25">
      <c r="B39" s="67">
        <f t="shared" si="14"/>
        <v>2022</v>
      </c>
      <c r="C39" s="49">
        <f t="shared" si="8"/>
        <v>200000</v>
      </c>
      <c r="D39" s="29">
        <f>IF(AND(B23=$B$8,B11="si"),$B$9/2,$B$9)</f>
        <v>0.2</v>
      </c>
      <c r="E39" s="49">
        <f t="shared" si="9"/>
        <v>20000</v>
      </c>
      <c r="F39" s="50">
        <f t="shared" si="10"/>
        <v>180000</v>
      </c>
      <c r="G39" s="49">
        <f t="shared" si="12"/>
        <v>200000</v>
      </c>
      <c r="H39" s="49">
        <f t="shared" si="13"/>
        <v>0</v>
      </c>
      <c r="I39" s="86">
        <f t="shared" si="11"/>
        <v>4800</v>
      </c>
    </row>
    <row r="40" spans="1:10" x14ac:dyDescent="0.25">
      <c r="B40" s="67">
        <f t="shared" si="14"/>
        <v>2023</v>
      </c>
      <c r="C40" s="49">
        <f t="shared" si="8"/>
        <v>0</v>
      </c>
      <c r="D40" s="29">
        <f>IF(AND(B24=$B$8,B11="si"),$B$9/2,$B$9)</f>
        <v>0.2</v>
      </c>
      <c r="E40" s="49">
        <f t="shared" si="9"/>
        <v>0</v>
      </c>
      <c r="F40" s="50">
        <f t="shared" si="10"/>
        <v>0</v>
      </c>
      <c r="G40" s="49">
        <f>IF(F40=0,E40,F40+E40)</f>
        <v>0</v>
      </c>
      <c r="H40" s="49">
        <f t="shared" si="13"/>
        <v>0</v>
      </c>
      <c r="I40" s="86">
        <f t="shared" si="11"/>
        <v>0</v>
      </c>
    </row>
    <row r="41" spans="1:10" x14ac:dyDescent="0.25">
      <c r="B41" s="67">
        <f t="shared" si="14"/>
        <v>2024</v>
      </c>
      <c r="C41" s="49">
        <f t="shared" si="8"/>
        <v>0</v>
      </c>
      <c r="D41" s="29">
        <f>IF(AND(B25=$B$8,B11="si"),$B$9/2,$B$9)</f>
        <v>0.2</v>
      </c>
      <c r="E41" s="49">
        <f>IF(H40&lt;C41*D41,H40,C41*D41)</f>
        <v>0</v>
      </c>
      <c r="F41" s="50">
        <f t="shared" si="10"/>
        <v>0</v>
      </c>
      <c r="G41" s="49">
        <f t="shared" si="12"/>
        <v>0</v>
      </c>
      <c r="H41" s="49">
        <f t="shared" si="13"/>
        <v>0</v>
      </c>
      <c r="I41" s="86">
        <f t="shared" si="11"/>
        <v>0</v>
      </c>
    </row>
    <row r="42" spans="1:10" x14ac:dyDescent="0.25">
      <c r="B42" s="67">
        <f t="shared" si="14"/>
        <v>2025</v>
      </c>
      <c r="C42" s="49">
        <f t="shared" si="8"/>
        <v>0</v>
      </c>
      <c r="D42" s="29">
        <f>IF(AND(B26=$B$8,B11="si"),$B$9/2,$B$9)</f>
        <v>0.2</v>
      </c>
      <c r="E42" s="49">
        <f>IF(H41&lt;C42*D42,H25,C42*D42)</f>
        <v>0</v>
      </c>
      <c r="F42" s="50">
        <f t="shared" si="10"/>
        <v>0</v>
      </c>
      <c r="G42" s="49">
        <f t="shared" si="12"/>
        <v>0</v>
      </c>
      <c r="H42" s="49">
        <f t="shared" si="13"/>
        <v>0</v>
      </c>
      <c r="I42" s="86">
        <f t="shared" si="11"/>
        <v>0</v>
      </c>
    </row>
    <row r="43" spans="1:10" x14ac:dyDescent="0.25">
      <c r="B43" s="67">
        <f t="shared" si="14"/>
        <v>2026</v>
      </c>
      <c r="C43" s="49">
        <f t="shared" si="8"/>
        <v>0</v>
      </c>
      <c r="D43" s="29">
        <f>IF(AND(B27=$B$8,B11="si"),$B$9/2,$B$9)</f>
        <v>0.2</v>
      </c>
      <c r="E43" s="49">
        <f>IF(H42&lt;C43*D43,H26,C43*D43)</f>
        <v>0</v>
      </c>
      <c r="F43" s="50">
        <f t="shared" si="10"/>
        <v>0</v>
      </c>
      <c r="G43" s="49">
        <f t="shared" si="12"/>
        <v>0</v>
      </c>
      <c r="H43" s="49">
        <f t="shared" si="13"/>
        <v>0</v>
      </c>
      <c r="I43" s="86">
        <f t="shared" si="11"/>
        <v>0</v>
      </c>
    </row>
    <row r="44" spans="1:10" x14ac:dyDescent="0.25">
      <c r="B44" s="67">
        <f t="shared" si="14"/>
        <v>2027</v>
      </c>
      <c r="C44" s="49">
        <f t="shared" si="8"/>
        <v>0</v>
      </c>
      <c r="D44" s="29">
        <f>IF(AND(B28=$B$8,B11="si"),$B$9/2,$B$9)</f>
        <v>0.2</v>
      </c>
      <c r="E44" s="49">
        <f>IF(H43&lt;C44*D44,H27,C44*D44)</f>
        <v>0</v>
      </c>
      <c r="F44" s="50">
        <f t="shared" si="10"/>
        <v>0</v>
      </c>
      <c r="G44" s="49">
        <f t="shared" si="12"/>
        <v>0</v>
      </c>
      <c r="H44" s="49">
        <f t="shared" si="13"/>
        <v>0</v>
      </c>
      <c r="I44" s="86">
        <f t="shared" si="11"/>
        <v>0</v>
      </c>
    </row>
    <row r="45" spans="1:10" x14ac:dyDescent="0.25">
      <c r="B45" s="87"/>
      <c r="C45" s="49"/>
      <c r="D45" s="88" t="s">
        <v>19</v>
      </c>
      <c r="E45" s="89">
        <f>SUM(E34:E44)</f>
        <v>200000</v>
      </c>
      <c r="F45" s="87"/>
      <c r="G45" s="87"/>
      <c r="H45" s="28" t="s">
        <v>19</v>
      </c>
      <c r="I45" s="91">
        <f>SUM(I34:I44)</f>
        <v>48000</v>
      </c>
    </row>
    <row r="47" spans="1:10" ht="48.75" customHeight="1" x14ac:dyDescent="0.25">
      <c r="A47" s="18" t="s">
        <v>24</v>
      </c>
      <c r="B47" s="19">
        <f>I29-I45</f>
        <v>19200</v>
      </c>
    </row>
    <row r="49" spans="2:2" x14ac:dyDescent="0.25">
      <c r="B49" s="20">
        <f>B47/I45</f>
        <v>0.4</v>
      </c>
    </row>
  </sheetData>
  <sheetProtection password="D254" sheet="1" objects="1" scenarios="1" selectLockedCells="1"/>
  <mergeCells count="2">
    <mergeCell ref="B15:I15"/>
    <mergeCell ref="B31:I31"/>
  </mergeCells>
  <dataValidations count="1">
    <dataValidation type="list" allowBlank="1" showInputMessage="1" showErrorMessage="1" sqref="B11">
      <formula1>mezza_aliquota_primo_anno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7169" r:id="rId4">
          <objectPr locked="0" defaultSize="0" r:id="rId5">
            <anchor moveWithCells="1">
              <from>
                <xdr:col>0</xdr:col>
                <xdr:colOff>619125</xdr:colOff>
                <xdr:row>19</xdr:row>
                <xdr:rowOff>66675</xdr:rowOff>
              </from>
              <to>
                <xdr:col>0</xdr:col>
                <xdr:colOff>1533525</xdr:colOff>
                <xdr:row>22</xdr:row>
                <xdr:rowOff>180975</xdr:rowOff>
              </to>
            </anchor>
          </objectPr>
        </oleObject>
      </mc:Choice>
      <mc:Fallback>
        <oleObject progId="AcroExch.Document.DC" dvAspect="DVASPECT_ICON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workbookViewId="0">
      <selection activeCell="B6" sqref="B6"/>
    </sheetView>
  </sheetViews>
  <sheetFormatPr defaultRowHeight="15" x14ac:dyDescent="0.25"/>
  <cols>
    <col min="1" max="1" width="44.28515625" customWidth="1"/>
    <col min="2" max="2" width="33.5703125" customWidth="1"/>
    <col min="3" max="3" width="19.5703125" hidden="1" customWidth="1"/>
    <col min="4" max="4" width="20.7109375" hidden="1" customWidth="1"/>
    <col min="5" max="5" width="24.28515625" customWidth="1"/>
    <col min="6" max="6" width="23.140625" customWidth="1"/>
    <col min="7" max="7" width="22.85546875" hidden="1" customWidth="1"/>
    <col min="8" max="8" width="21.5703125" hidden="1" customWidth="1"/>
    <col min="9" max="9" width="27.5703125" customWidth="1"/>
    <col min="10" max="10" width="9.5703125" customWidth="1"/>
  </cols>
  <sheetData>
    <row r="1" spans="1:9" x14ac:dyDescent="0.25">
      <c r="A1" s="22" t="s">
        <v>54</v>
      </c>
    </row>
    <row r="2" spans="1:9" x14ac:dyDescent="0.25">
      <c r="A2" s="22"/>
    </row>
    <row r="3" spans="1:9" x14ac:dyDescent="0.25">
      <c r="A3" s="104" t="s">
        <v>6</v>
      </c>
    </row>
    <row r="4" spans="1:9" x14ac:dyDescent="0.25">
      <c r="A4" s="2" t="s">
        <v>51</v>
      </c>
      <c r="B4" s="3"/>
      <c r="F4" s="78"/>
      <c r="G4" s="79"/>
      <c r="H4" s="79"/>
    </row>
    <row r="5" spans="1:9" x14ac:dyDescent="0.25">
      <c r="A5" s="5" t="s">
        <v>27</v>
      </c>
      <c r="B5" s="111">
        <v>200000</v>
      </c>
      <c r="F5" s="80"/>
      <c r="G5" s="81"/>
      <c r="H5" s="79"/>
    </row>
    <row r="6" spans="1:9" x14ac:dyDescent="0.25">
      <c r="A6" s="1" t="s">
        <v>28</v>
      </c>
      <c r="B6" s="103">
        <v>0.1</v>
      </c>
      <c r="F6" s="80"/>
      <c r="G6" s="81"/>
      <c r="H6" s="79"/>
    </row>
    <row r="7" spans="1:9" hidden="1" x14ac:dyDescent="0.25">
      <c r="A7" s="1" t="s">
        <v>29</v>
      </c>
      <c r="B7" s="23">
        <f>+B5*B6</f>
        <v>20000</v>
      </c>
      <c r="F7" s="79"/>
      <c r="G7" s="79"/>
      <c r="H7" s="79"/>
    </row>
    <row r="8" spans="1:9" hidden="1" x14ac:dyDescent="0.25">
      <c r="A8" s="1" t="s">
        <v>35</v>
      </c>
      <c r="B8" s="82">
        <f>+B5-B7</f>
        <v>180000</v>
      </c>
      <c r="F8" s="24"/>
      <c r="G8" s="25"/>
    </row>
    <row r="9" spans="1:9" x14ac:dyDescent="0.25">
      <c r="A9" s="1" t="s">
        <v>34</v>
      </c>
      <c r="B9" s="82">
        <f>B8*(1+40%)</f>
        <v>251999.99999999997</v>
      </c>
      <c r="F9" s="24"/>
      <c r="G9" s="25"/>
    </row>
    <row r="10" spans="1:9" x14ac:dyDescent="0.25">
      <c r="A10" s="1" t="s">
        <v>33</v>
      </c>
      <c r="B10" s="82">
        <f>B7*(1+40%)</f>
        <v>28000</v>
      </c>
    </row>
    <row r="11" spans="1:9" x14ac:dyDescent="0.25">
      <c r="A11" s="1" t="s">
        <v>31</v>
      </c>
      <c r="B11" s="83">
        <v>2017</v>
      </c>
    </row>
    <row r="12" spans="1:9" x14ac:dyDescent="0.25">
      <c r="A12" s="1" t="s">
        <v>2</v>
      </c>
      <c r="B12" s="103">
        <v>0.2</v>
      </c>
      <c r="D12" s="21"/>
    </row>
    <row r="13" spans="1:9" x14ac:dyDescent="0.25">
      <c r="A13" s="1" t="s">
        <v>32</v>
      </c>
      <c r="B13" s="30">
        <f>100/(B12*100)/2</f>
        <v>2.5</v>
      </c>
    </row>
    <row r="14" spans="1:9" hidden="1" x14ac:dyDescent="0.25">
      <c r="A14" s="1" t="s">
        <v>30</v>
      </c>
      <c r="B14" s="84">
        <f>TRUNC(+B11+B13,0)</f>
        <v>2019</v>
      </c>
    </row>
    <row r="15" spans="1:9" hidden="1" x14ac:dyDescent="0.25">
      <c r="A15" s="1" t="s">
        <v>25</v>
      </c>
      <c r="B15" s="84">
        <f>+B14</f>
        <v>2019</v>
      </c>
      <c r="D15" s="12"/>
    </row>
    <row r="16" spans="1:9" hidden="1" x14ac:dyDescent="0.25">
      <c r="A16" s="13" t="s">
        <v>40</v>
      </c>
      <c r="B16" s="17" t="s">
        <v>13</v>
      </c>
      <c r="D16" s="9"/>
      <c r="I16" s="4"/>
    </row>
    <row r="17" spans="1:11" ht="15.75" thickBot="1" x14ac:dyDescent="0.3">
      <c r="A17" s="16" t="s">
        <v>41</v>
      </c>
      <c r="B17" s="106">
        <v>0.24</v>
      </c>
      <c r="E17" s="4"/>
    </row>
    <row r="18" spans="1:11" x14ac:dyDescent="0.25">
      <c r="B18" s="113" t="s">
        <v>64</v>
      </c>
      <c r="C18" s="114"/>
      <c r="D18" s="114"/>
      <c r="E18" s="115"/>
      <c r="F18" s="116" t="s">
        <v>63</v>
      </c>
      <c r="G18" s="117"/>
      <c r="H18" s="117"/>
      <c r="I18" s="118"/>
    </row>
    <row r="19" spans="1:11" x14ac:dyDescent="0.25">
      <c r="B19" s="32" t="s">
        <v>7</v>
      </c>
      <c r="C19" s="28" t="s">
        <v>36</v>
      </c>
      <c r="D19" s="60" t="s">
        <v>39</v>
      </c>
      <c r="E19" s="33" t="s">
        <v>58</v>
      </c>
      <c r="F19" s="39" t="s">
        <v>7</v>
      </c>
      <c r="G19" s="6" t="s">
        <v>36</v>
      </c>
      <c r="H19" s="28"/>
      <c r="I19" s="33" t="s">
        <v>65</v>
      </c>
    </row>
    <row r="20" spans="1:11" x14ac:dyDescent="0.25">
      <c r="B20" s="40"/>
      <c r="C20" s="42"/>
      <c r="D20" s="42"/>
      <c r="E20" s="42"/>
      <c r="F20" s="41"/>
      <c r="G20" s="42"/>
      <c r="H20" s="42"/>
      <c r="I20" s="42"/>
    </row>
    <row r="21" spans="1:11" x14ac:dyDescent="0.25">
      <c r="A21" s="97" t="s">
        <v>57</v>
      </c>
      <c r="B21" s="41">
        <f>+B11</f>
        <v>2017</v>
      </c>
      <c r="C21" s="49">
        <f t="shared" ref="C21:C31" si="0">IF(B21&lt;$B$14,+$B$8/$B$13,IF(B21&gt;$B$14,0,+$B$8/$B$13*($B$11+$B$13-$B$14)))</f>
        <v>72000</v>
      </c>
      <c r="D21" s="27">
        <f>+C21*(1+40%)</f>
        <v>100800</v>
      </c>
      <c r="E21" s="34">
        <f t="shared" ref="E21:E31" si="1">+D21*$B$17</f>
        <v>24192</v>
      </c>
      <c r="F21" s="41">
        <f>+B21</f>
        <v>2017</v>
      </c>
      <c r="G21" s="55">
        <f>+C21</f>
        <v>72000</v>
      </c>
      <c r="H21" s="56"/>
      <c r="I21" s="54">
        <f t="shared" ref="I21:I31" si="2">+G21*$B$17</f>
        <v>17280</v>
      </c>
      <c r="K21" s="4"/>
    </row>
    <row r="22" spans="1:11" x14ac:dyDescent="0.25">
      <c r="B22" s="42">
        <f>B21+1</f>
        <v>2018</v>
      </c>
      <c r="C22" s="49">
        <f t="shared" si="0"/>
        <v>72000</v>
      </c>
      <c r="D22" s="27">
        <f t="shared" ref="D22:D31" si="3">+C22*(1+40%)</f>
        <v>100800</v>
      </c>
      <c r="E22" s="34">
        <f t="shared" si="1"/>
        <v>24192</v>
      </c>
      <c r="F22" s="41">
        <f>F21+1</f>
        <v>2018</v>
      </c>
      <c r="G22" s="55">
        <f t="shared" ref="G22:G31" si="4">+C22</f>
        <v>72000</v>
      </c>
      <c r="H22" s="56"/>
      <c r="I22" s="54">
        <f t="shared" si="2"/>
        <v>17280</v>
      </c>
    </row>
    <row r="23" spans="1:11" x14ac:dyDescent="0.25">
      <c r="B23" s="42">
        <f t="shared" ref="B23:B31" si="5">B22+1</f>
        <v>2019</v>
      </c>
      <c r="C23" s="49">
        <f t="shared" si="0"/>
        <v>36000</v>
      </c>
      <c r="D23" s="27">
        <f t="shared" si="3"/>
        <v>50400</v>
      </c>
      <c r="E23" s="34">
        <f t="shared" si="1"/>
        <v>12096</v>
      </c>
      <c r="F23" s="41">
        <f t="shared" ref="F23:F31" si="6">F22+1</f>
        <v>2019</v>
      </c>
      <c r="G23" s="55">
        <f t="shared" si="4"/>
        <v>36000</v>
      </c>
      <c r="H23" s="56"/>
      <c r="I23" s="54">
        <f t="shared" si="2"/>
        <v>8640</v>
      </c>
    </row>
    <row r="24" spans="1:11" x14ac:dyDescent="0.25">
      <c r="B24" s="42">
        <f t="shared" si="5"/>
        <v>2020</v>
      </c>
      <c r="C24" s="26">
        <f t="shared" si="0"/>
        <v>0</v>
      </c>
      <c r="D24" s="27">
        <f t="shared" si="3"/>
        <v>0</v>
      </c>
      <c r="E24" s="34">
        <f t="shared" si="1"/>
        <v>0</v>
      </c>
      <c r="F24" s="41">
        <f t="shared" si="6"/>
        <v>2020</v>
      </c>
      <c r="G24" s="55">
        <f t="shared" si="4"/>
        <v>0</v>
      </c>
      <c r="H24" s="56"/>
      <c r="I24" s="54">
        <f t="shared" si="2"/>
        <v>0</v>
      </c>
    </row>
    <row r="25" spans="1:11" x14ac:dyDescent="0.25">
      <c r="B25" s="42">
        <f t="shared" si="5"/>
        <v>2021</v>
      </c>
      <c r="C25" s="26">
        <f t="shared" si="0"/>
        <v>0</v>
      </c>
      <c r="D25" s="27">
        <f t="shared" si="3"/>
        <v>0</v>
      </c>
      <c r="E25" s="34">
        <f t="shared" si="1"/>
        <v>0</v>
      </c>
      <c r="F25" s="41">
        <f t="shared" si="6"/>
        <v>2021</v>
      </c>
      <c r="G25" s="55">
        <f t="shared" si="4"/>
        <v>0</v>
      </c>
      <c r="H25" s="56"/>
      <c r="I25" s="54">
        <f t="shared" si="2"/>
        <v>0</v>
      </c>
    </row>
    <row r="26" spans="1:11" x14ac:dyDescent="0.25">
      <c r="B26" s="42">
        <f t="shared" si="5"/>
        <v>2022</v>
      </c>
      <c r="C26" s="26">
        <f t="shared" si="0"/>
        <v>0</v>
      </c>
      <c r="D26" s="27">
        <f t="shared" si="3"/>
        <v>0</v>
      </c>
      <c r="E26" s="34">
        <f t="shared" si="1"/>
        <v>0</v>
      </c>
      <c r="F26" s="41">
        <f t="shared" si="6"/>
        <v>2022</v>
      </c>
      <c r="G26" s="55">
        <f t="shared" si="4"/>
        <v>0</v>
      </c>
      <c r="H26" s="56"/>
      <c r="I26" s="54">
        <f t="shared" si="2"/>
        <v>0</v>
      </c>
    </row>
    <row r="27" spans="1:11" x14ac:dyDescent="0.25">
      <c r="B27" s="42">
        <f t="shared" si="5"/>
        <v>2023</v>
      </c>
      <c r="C27" s="26">
        <f t="shared" si="0"/>
        <v>0</v>
      </c>
      <c r="D27" s="27">
        <f t="shared" si="3"/>
        <v>0</v>
      </c>
      <c r="E27" s="34">
        <f t="shared" si="1"/>
        <v>0</v>
      </c>
      <c r="F27" s="41">
        <f t="shared" si="6"/>
        <v>2023</v>
      </c>
      <c r="G27" s="55">
        <f t="shared" si="4"/>
        <v>0</v>
      </c>
      <c r="H27" s="56"/>
      <c r="I27" s="54">
        <f t="shared" si="2"/>
        <v>0</v>
      </c>
    </row>
    <row r="28" spans="1:11" x14ac:dyDescent="0.25">
      <c r="B28" s="42">
        <f t="shared" si="5"/>
        <v>2024</v>
      </c>
      <c r="C28" s="26">
        <f t="shared" si="0"/>
        <v>0</v>
      </c>
      <c r="D28" s="27">
        <f t="shared" si="3"/>
        <v>0</v>
      </c>
      <c r="E28" s="34">
        <f t="shared" si="1"/>
        <v>0</v>
      </c>
      <c r="F28" s="41">
        <f t="shared" si="6"/>
        <v>2024</v>
      </c>
      <c r="G28" s="55">
        <f t="shared" si="4"/>
        <v>0</v>
      </c>
      <c r="H28" s="56"/>
      <c r="I28" s="54">
        <f t="shared" si="2"/>
        <v>0</v>
      </c>
    </row>
    <row r="29" spans="1:11" x14ac:dyDescent="0.25">
      <c r="B29" s="42">
        <f t="shared" si="5"/>
        <v>2025</v>
      </c>
      <c r="C29" s="26">
        <f t="shared" si="0"/>
        <v>0</v>
      </c>
      <c r="D29" s="27">
        <f t="shared" si="3"/>
        <v>0</v>
      </c>
      <c r="E29" s="34">
        <f t="shared" si="1"/>
        <v>0</v>
      </c>
      <c r="F29" s="41">
        <f t="shared" si="6"/>
        <v>2025</v>
      </c>
      <c r="G29" s="55">
        <f t="shared" si="4"/>
        <v>0</v>
      </c>
      <c r="H29" s="56"/>
      <c r="I29" s="54">
        <f t="shared" si="2"/>
        <v>0</v>
      </c>
    </row>
    <row r="30" spans="1:11" x14ac:dyDescent="0.25">
      <c r="B30" s="42">
        <f t="shared" si="5"/>
        <v>2026</v>
      </c>
      <c r="C30" s="26">
        <f t="shared" si="0"/>
        <v>0</v>
      </c>
      <c r="D30" s="27">
        <f t="shared" si="3"/>
        <v>0</v>
      </c>
      <c r="E30" s="34">
        <f t="shared" si="1"/>
        <v>0</v>
      </c>
      <c r="F30" s="41">
        <f t="shared" si="6"/>
        <v>2026</v>
      </c>
      <c r="G30" s="55">
        <f t="shared" si="4"/>
        <v>0</v>
      </c>
      <c r="H30" s="56"/>
      <c r="I30" s="54">
        <f t="shared" si="2"/>
        <v>0</v>
      </c>
    </row>
    <row r="31" spans="1:11" x14ac:dyDescent="0.25">
      <c r="B31" s="42">
        <f t="shared" si="5"/>
        <v>2027</v>
      </c>
      <c r="C31" s="26">
        <f t="shared" si="0"/>
        <v>0</v>
      </c>
      <c r="D31" s="27">
        <f t="shared" si="3"/>
        <v>0</v>
      </c>
      <c r="E31" s="34">
        <f t="shared" si="1"/>
        <v>0</v>
      </c>
      <c r="F31" s="41">
        <f t="shared" si="6"/>
        <v>2027</v>
      </c>
      <c r="G31" s="55">
        <f t="shared" si="4"/>
        <v>0</v>
      </c>
      <c r="H31" s="56"/>
      <c r="I31" s="54">
        <f t="shared" si="2"/>
        <v>0</v>
      </c>
    </row>
    <row r="32" spans="1:11" ht="15.75" thickBot="1" x14ac:dyDescent="0.3">
      <c r="B32" s="35"/>
      <c r="C32" s="36">
        <f>SUM(C21:C31)</f>
        <v>180000</v>
      </c>
      <c r="D32" s="37" t="s">
        <v>19</v>
      </c>
      <c r="E32" s="38">
        <f>SUM(E21:E31)</f>
        <v>60480</v>
      </c>
      <c r="F32" s="35"/>
      <c r="G32" s="57">
        <f>SUM(G21:G31)</f>
        <v>180000</v>
      </c>
      <c r="H32" s="58" t="s">
        <v>19</v>
      </c>
      <c r="I32" s="59">
        <f>SUM(I21:I31)</f>
        <v>43200</v>
      </c>
    </row>
    <row r="33" spans="2:11" ht="15.75" thickBot="1" x14ac:dyDescent="0.3">
      <c r="B33" s="14"/>
      <c r="C33" s="15"/>
      <c r="E33" s="4"/>
    </row>
    <row r="34" spans="2:11" x14ac:dyDescent="0.25">
      <c r="B34" s="116" t="s">
        <v>26</v>
      </c>
      <c r="C34" s="117"/>
      <c r="D34" s="117"/>
      <c r="E34" s="117"/>
      <c r="F34" s="117"/>
      <c r="G34" s="117"/>
      <c r="H34" s="117"/>
      <c r="I34" s="118"/>
    </row>
    <row r="35" spans="2:11" x14ac:dyDescent="0.25">
      <c r="B35" s="39" t="s">
        <v>7</v>
      </c>
      <c r="C35" s="6" t="s">
        <v>37</v>
      </c>
      <c r="D35" s="6" t="s">
        <v>9</v>
      </c>
      <c r="E35" s="6" t="s">
        <v>10</v>
      </c>
      <c r="F35" s="6" t="s">
        <v>18</v>
      </c>
      <c r="G35" s="6" t="s">
        <v>15</v>
      </c>
      <c r="H35" s="7" t="s">
        <v>11</v>
      </c>
      <c r="I35" s="61" t="s">
        <v>58</v>
      </c>
    </row>
    <row r="36" spans="2:11" x14ac:dyDescent="0.25">
      <c r="B36" s="62"/>
      <c r="C36" s="62"/>
      <c r="D36" s="62"/>
      <c r="E36" s="62"/>
      <c r="F36" s="62"/>
      <c r="G36" s="62"/>
      <c r="H36" s="63">
        <f>+B10</f>
        <v>28000</v>
      </c>
      <c r="I36" s="64"/>
    </row>
    <row r="37" spans="2:11" x14ac:dyDescent="0.25">
      <c r="B37" s="65">
        <f>+B15</f>
        <v>2019</v>
      </c>
      <c r="C37" s="49">
        <f>IF(H36&gt;0,$H$36,0)</f>
        <v>28000</v>
      </c>
      <c r="D37" s="29">
        <f>IF(AND(B37=$B$14,B16="si"),$B$12/2,$B$12)</f>
        <v>0.1</v>
      </c>
      <c r="E37" s="26">
        <f>IF(H36&lt;C37*D37,H36,C37*D37)</f>
        <v>2800</v>
      </c>
      <c r="F37" s="50">
        <f t="shared" ref="F37:F47" si="7">IF(OR(B37=$B$14,E37=0),0,G36)</f>
        <v>0</v>
      </c>
      <c r="G37" s="66">
        <f>IF(F37=0,E37,F37+E37)</f>
        <v>2800</v>
      </c>
      <c r="H37" s="85">
        <f>C37-G37</f>
        <v>25200</v>
      </c>
      <c r="I37" s="86">
        <f t="shared" ref="I37:I47" si="8">+E37*$B$17</f>
        <v>672</v>
      </c>
      <c r="K37" s="4"/>
    </row>
    <row r="38" spans="2:11" x14ac:dyDescent="0.25">
      <c r="B38" s="67">
        <f>B37+1</f>
        <v>2020</v>
      </c>
      <c r="C38" s="49">
        <f t="shared" ref="C38:C47" si="9">IF(H37&gt;0,$H$36,0)</f>
        <v>28000</v>
      </c>
      <c r="D38" s="29">
        <f>IF(AND(B38=$B$14,B16="si"),$B$12/2,$B$12)</f>
        <v>0.2</v>
      </c>
      <c r="E38" s="26">
        <f>IF(H37&lt;C38*D38,H37,C38*D38)</f>
        <v>5600</v>
      </c>
      <c r="F38" s="50">
        <f t="shared" si="7"/>
        <v>2800</v>
      </c>
      <c r="G38" s="66">
        <f t="shared" ref="G38:G44" si="10">IF(F38=0,E38,F38+E38)</f>
        <v>8400</v>
      </c>
      <c r="H38" s="85">
        <f t="shared" ref="H38:H47" si="11">C38-G38</f>
        <v>19600</v>
      </c>
      <c r="I38" s="86">
        <f t="shared" si="8"/>
        <v>1344</v>
      </c>
    </row>
    <row r="39" spans="2:11" x14ac:dyDescent="0.25">
      <c r="B39" s="67">
        <f t="shared" ref="B39:B47" si="12">B38+1</f>
        <v>2021</v>
      </c>
      <c r="C39" s="49">
        <f t="shared" si="9"/>
        <v>28000</v>
      </c>
      <c r="D39" s="29">
        <f>IF(AND(B39=$B$14,B16="si"),$B$12/2,$B$12)</f>
        <v>0.2</v>
      </c>
      <c r="E39" s="26">
        <f>IF(H38&lt;C39*D39,H38,C39*D39)</f>
        <v>5600</v>
      </c>
      <c r="F39" s="50">
        <f t="shared" si="7"/>
        <v>8400</v>
      </c>
      <c r="G39" s="66">
        <f t="shared" si="10"/>
        <v>14000</v>
      </c>
      <c r="H39" s="85">
        <f t="shared" si="11"/>
        <v>14000</v>
      </c>
      <c r="I39" s="86">
        <f t="shared" si="8"/>
        <v>1344</v>
      </c>
    </row>
    <row r="40" spans="2:11" x14ac:dyDescent="0.25">
      <c r="B40" s="67">
        <f t="shared" si="12"/>
        <v>2022</v>
      </c>
      <c r="C40" s="49">
        <f t="shared" si="9"/>
        <v>28000</v>
      </c>
      <c r="D40" s="29">
        <f>IF(AND(B40=$B$14,B16="si"),$B$12/2,$B$12)</f>
        <v>0.2</v>
      </c>
      <c r="E40" s="26">
        <f t="shared" ref="E40:E47" si="13">IF(H39&lt;C40*D40,H39,C40*D40)</f>
        <v>5600</v>
      </c>
      <c r="F40" s="50">
        <f t="shared" si="7"/>
        <v>14000</v>
      </c>
      <c r="G40" s="66">
        <f t="shared" si="10"/>
        <v>19600</v>
      </c>
      <c r="H40" s="85">
        <f t="shared" si="11"/>
        <v>8400</v>
      </c>
      <c r="I40" s="86">
        <f t="shared" si="8"/>
        <v>1344</v>
      </c>
    </row>
    <row r="41" spans="2:11" x14ac:dyDescent="0.25">
      <c r="B41" s="67">
        <f t="shared" si="12"/>
        <v>2023</v>
      </c>
      <c r="C41" s="49">
        <f t="shared" si="9"/>
        <v>28000</v>
      </c>
      <c r="D41" s="29">
        <f>IF(AND(B41=$B$14,B16="si"),$B$12/2,$B$12)</f>
        <v>0.2</v>
      </c>
      <c r="E41" s="26">
        <f t="shared" si="13"/>
        <v>5600</v>
      </c>
      <c r="F41" s="50">
        <f t="shared" si="7"/>
        <v>19600</v>
      </c>
      <c r="G41" s="66">
        <f t="shared" si="10"/>
        <v>25200</v>
      </c>
      <c r="H41" s="85">
        <f t="shared" si="11"/>
        <v>2800</v>
      </c>
      <c r="I41" s="86">
        <f t="shared" si="8"/>
        <v>1344</v>
      </c>
    </row>
    <row r="42" spans="2:11" x14ac:dyDescent="0.25">
      <c r="B42" s="67">
        <f t="shared" si="12"/>
        <v>2024</v>
      </c>
      <c r="C42" s="49">
        <f t="shared" si="9"/>
        <v>28000</v>
      </c>
      <c r="D42" s="29">
        <f>IF(AND(B42=$B$14,B16="si"),$B$12/2,$B$12)</f>
        <v>0.2</v>
      </c>
      <c r="E42" s="26">
        <f t="shared" si="13"/>
        <v>2800</v>
      </c>
      <c r="F42" s="50">
        <f t="shared" si="7"/>
        <v>25200</v>
      </c>
      <c r="G42" s="66">
        <f t="shared" si="10"/>
        <v>28000</v>
      </c>
      <c r="H42" s="66">
        <f t="shared" si="11"/>
        <v>0</v>
      </c>
      <c r="I42" s="86">
        <f t="shared" si="8"/>
        <v>672</v>
      </c>
    </row>
    <row r="43" spans="2:11" x14ac:dyDescent="0.25">
      <c r="B43" s="67">
        <f t="shared" si="12"/>
        <v>2025</v>
      </c>
      <c r="C43" s="49">
        <f t="shared" si="9"/>
        <v>0</v>
      </c>
      <c r="D43" s="29">
        <f>IF(AND(B43=$B$14,B16="si"),$B$12/2,$B$12)</f>
        <v>0.2</v>
      </c>
      <c r="E43" s="26">
        <f t="shared" si="13"/>
        <v>0</v>
      </c>
      <c r="F43" s="50">
        <f t="shared" si="7"/>
        <v>0</v>
      </c>
      <c r="G43" s="66">
        <f t="shared" si="10"/>
        <v>0</v>
      </c>
      <c r="H43" s="66">
        <f t="shared" si="11"/>
        <v>0</v>
      </c>
      <c r="I43" s="86">
        <f t="shared" si="8"/>
        <v>0</v>
      </c>
    </row>
    <row r="44" spans="2:11" x14ac:dyDescent="0.25">
      <c r="B44" s="67">
        <f t="shared" si="12"/>
        <v>2026</v>
      </c>
      <c r="C44" s="49">
        <f t="shared" si="9"/>
        <v>0</v>
      </c>
      <c r="D44" s="29">
        <f>IF(AND(B44=$B$14,B16="si"),$B$12/2,$B$12)</f>
        <v>0.2</v>
      </c>
      <c r="E44" s="26">
        <f>IF(H43&lt;C44*D44,H43,C44*D44)</f>
        <v>0</v>
      </c>
      <c r="F44" s="50">
        <f t="shared" si="7"/>
        <v>0</v>
      </c>
      <c r="G44" s="66">
        <f t="shared" si="10"/>
        <v>0</v>
      </c>
      <c r="H44" s="66">
        <f t="shared" si="11"/>
        <v>0</v>
      </c>
      <c r="I44" s="86">
        <f t="shared" si="8"/>
        <v>0</v>
      </c>
    </row>
    <row r="45" spans="2:11" x14ac:dyDescent="0.25">
      <c r="B45" s="67">
        <f t="shared" si="12"/>
        <v>2027</v>
      </c>
      <c r="C45" s="49">
        <f t="shared" si="9"/>
        <v>0</v>
      </c>
      <c r="D45" s="29">
        <f>IF(AND(B45=$B$14,B16="si"),$B$12/2,$B$12)</f>
        <v>0.2</v>
      </c>
      <c r="E45" s="49">
        <f t="shared" si="13"/>
        <v>0</v>
      </c>
      <c r="F45" s="50">
        <f t="shared" si="7"/>
        <v>0</v>
      </c>
      <c r="G45" s="66">
        <f t="shared" ref="G45:G47" si="14">F45+E45</f>
        <v>0</v>
      </c>
      <c r="H45" s="66">
        <f t="shared" si="11"/>
        <v>0</v>
      </c>
      <c r="I45" s="51">
        <f t="shared" si="8"/>
        <v>0</v>
      </c>
    </row>
    <row r="46" spans="2:11" x14ac:dyDescent="0.25">
      <c r="B46" s="67">
        <f t="shared" si="12"/>
        <v>2028</v>
      </c>
      <c r="C46" s="49">
        <f t="shared" si="9"/>
        <v>0</v>
      </c>
      <c r="D46" s="29">
        <f>IF(AND(B46=$B$14,B16="si"),$B$12/2,$B$12)</f>
        <v>0.2</v>
      </c>
      <c r="E46" s="49">
        <f t="shared" si="13"/>
        <v>0</v>
      </c>
      <c r="F46" s="50">
        <f t="shared" si="7"/>
        <v>0</v>
      </c>
      <c r="G46" s="66">
        <f t="shared" si="14"/>
        <v>0</v>
      </c>
      <c r="H46" s="66">
        <f t="shared" si="11"/>
        <v>0</v>
      </c>
      <c r="I46" s="51">
        <f t="shared" si="8"/>
        <v>0</v>
      </c>
    </row>
    <row r="47" spans="2:11" x14ac:dyDescent="0.25">
      <c r="B47" s="67">
        <f t="shared" si="12"/>
        <v>2029</v>
      </c>
      <c r="C47" s="49">
        <f t="shared" si="9"/>
        <v>0</v>
      </c>
      <c r="D47" s="29">
        <f>IF(AND(B47=$B$14,B16="si"),$B$12/2,$B$12)</f>
        <v>0.2</v>
      </c>
      <c r="E47" s="49">
        <f t="shared" si="13"/>
        <v>0</v>
      </c>
      <c r="F47" s="50">
        <f t="shared" si="7"/>
        <v>0</v>
      </c>
      <c r="G47" s="66">
        <f t="shared" si="14"/>
        <v>0</v>
      </c>
      <c r="H47" s="66">
        <f t="shared" si="11"/>
        <v>0</v>
      </c>
      <c r="I47" s="51">
        <f t="shared" si="8"/>
        <v>0</v>
      </c>
    </row>
    <row r="48" spans="2:11" ht="15.75" thickBot="1" x14ac:dyDescent="0.3">
      <c r="B48" s="35"/>
      <c r="C48" s="57"/>
      <c r="D48" s="37" t="s">
        <v>19</v>
      </c>
      <c r="E48" s="46">
        <f>SUM(E37:E47)</f>
        <v>28000</v>
      </c>
      <c r="F48" s="47"/>
      <c r="G48" s="47"/>
      <c r="H48" s="48" t="s">
        <v>19</v>
      </c>
      <c r="I48" s="52">
        <f>SUM(I37:I47)</f>
        <v>6720</v>
      </c>
    </row>
    <row r="49" spans="2:10" ht="15.75" thickBot="1" x14ac:dyDescent="0.3"/>
    <row r="50" spans="2:10" x14ac:dyDescent="0.25">
      <c r="B50" s="119" t="s">
        <v>62</v>
      </c>
      <c r="C50" s="120"/>
      <c r="D50" s="120"/>
      <c r="E50" s="120"/>
      <c r="F50" s="120"/>
      <c r="G50" s="120"/>
      <c r="H50" s="120"/>
      <c r="I50" s="121"/>
    </row>
    <row r="51" spans="2:10" x14ac:dyDescent="0.25">
      <c r="B51" s="32" t="s">
        <v>7</v>
      </c>
      <c r="C51" s="28" t="s">
        <v>38</v>
      </c>
      <c r="D51" s="28" t="s">
        <v>9</v>
      </c>
      <c r="E51" s="28" t="s">
        <v>10</v>
      </c>
      <c r="F51" s="28" t="s">
        <v>14</v>
      </c>
      <c r="G51" s="28" t="s">
        <v>15</v>
      </c>
      <c r="H51" s="28" t="s">
        <v>11</v>
      </c>
      <c r="I51" s="33" t="s">
        <v>58</v>
      </c>
    </row>
    <row r="52" spans="2:10" x14ac:dyDescent="0.25">
      <c r="B52" s="68"/>
      <c r="C52" s="62"/>
      <c r="D52" s="62"/>
      <c r="E52" s="62"/>
      <c r="F52" s="62"/>
      <c r="G52" s="62"/>
      <c r="H52" s="62">
        <f>+B7</f>
        <v>20000</v>
      </c>
      <c r="I52" s="69"/>
    </row>
    <row r="53" spans="2:10" x14ac:dyDescent="0.25">
      <c r="B53" s="70">
        <f>+B37</f>
        <v>2019</v>
      </c>
      <c r="C53" s="49">
        <f>IF(H52&gt;0,$H$52,0)</f>
        <v>20000</v>
      </c>
      <c r="D53" s="29">
        <f>+D37</f>
        <v>0.1</v>
      </c>
      <c r="E53" s="49">
        <f t="shared" ref="E53:E59" si="15">IF(H52&lt;C53*D53,H52,C53*D53)</f>
        <v>2000</v>
      </c>
      <c r="F53" s="50">
        <f t="shared" ref="F53:F63" si="16">IF(OR(B53=$B$14,E53=0),0,G52)</f>
        <v>0</v>
      </c>
      <c r="G53" s="49">
        <f>IF(F53=0,E53,F53+E53)</f>
        <v>2000</v>
      </c>
      <c r="H53" s="49">
        <f>C53-G53</f>
        <v>18000</v>
      </c>
      <c r="I53" s="54">
        <f t="shared" ref="I53:I63" si="17">+E53*$B$17</f>
        <v>480</v>
      </c>
      <c r="J53" s="8"/>
    </row>
    <row r="54" spans="2:10" x14ac:dyDescent="0.25">
      <c r="B54" s="70">
        <f>B53+1</f>
        <v>2020</v>
      </c>
      <c r="C54" s="49">
        <f t="shared" ref="C54:C63" si="18">IF(H53&gt;0,$H$52,0)</f>
        <v>20000</v>
      </c>
      <c r="D54" s="29">
        <f t="shared" ref="D54:D63" si="19">+D38</f>
        <v>0.2</v>
      </c>
      <c r="E54" s="49">
        <f t="shared" si="15"/>
        <v>4000</v>
      </c>
      <c r="F54" s="50">
        <f t="shared" si="16"/>
        <v>2000</v>
      </c>
      <c r="G54" s="49">
        <f t="shared" ref="G54:G63" si="20">IF(F54=0,E54,F54+E54)</f>
        <v>6000</v>
      </c>
      <c r="H54" s="49">
        <f t="shared" ref="H54:H63" si="21">C54-G54</f>
        <v>14000</v>
      </c>
      <c r="I54" s="54">
        <f t="shared" si="17"/>
        <v>960</v>
      </c>
    </row>
    <row r="55" spans="2:10" x14ac:dyDescent="0.25">
      <c r="B55" s="70">
        <f t="shared" ref="B55:B63" si="22">B54+1</f>
        <v>2021</v>
      </c>
      <c r="C55" s="49">
        <f t="shared" si="18"/>
        <v>20000</v>
      </c>
      <c r="D55" s="29">
        <f t="shared" si="19"/>
        <v>0.2</v>
      </c>
      <c r="E55" s="49">
        <f t="shared" si="15"/>
        <v>4000</v>
      </c>
      <c r="F55" s="50">
        <f t="shared" si="16"/>
        <v>6000</v>
      </c>
      <c r="G55" s="49">
        <f t="shared" si="20"/>
        <v>10000</v>
      </c>
      <c r="H55" s="49">
        <f t="shared" si="21"/>
        <v>10000</v>
      </c>
      <c r="I55" s="54">
        <f t="shared" si="17"/>
        <v>960</v>
      </c>
    </row>
    <row r="56" spans="2:10" x14ac:dyDescent="0.25">
      <c r="B56" s="70">
        <f t="shared" si="22"/>
        <v>2022</v>
      </c>
      <c r="C56" s="49">
        <f t="shared" si="18"/>
        <v>20000</v>
      </c>
      <c r="D56" s="29">
        <f t="shared" si="19"/>
        <v>0.2</v>
      </c>
      <c r="E56" s="49">
        <f t="shared" si="15"/>
        <v>4000</v>
      </c>
      <c r="F56" s="50">
        <f t="shared" si="16"/>
        <v>10000</v>
      </c>
      <c r="G56" s="49">
        <f t="shared" si="20"/>
        <v>14000</v>
      </c>
      <c r="H56" s="49">
        <f t="shared" si="21"/>
        <v>6000</v>
      </c>
      <c r="I56" s="54">
        <f t="shared" si="17"/>
        <v>960</v>
      </c>
    </row>
    <row r="57" spans="2:10" x14ac:dyDescent="0.25">
      <c r="B57" s="70">
        <f t="shared" si="22"/>
        <v>2023</v>
      </c>
      <c r="C57" s="49">
        <f t="shared" si="18"/>
        <v>20000</v>
      </c>
      <c r="D57" s="29">
        <f t="shared" si="19"/>
        <v>0.2</v>
      </c>
      <c r="E57" s="49">
        <f t="shared" si="15"/>
        <v>4000</v>
      </c>
      <c r="F57" s="50">
        <f t="shared" si="16"/>
        <v>14000</v>
      </c>
      <c r="G57" s="49">
        <f t="shared" si="20"/>
        <v>18000</v>
      </c>
      <c r="H57" s="49">
        <f t="shared" si="21"/>
        <v>2000</v>
      </c>
      <c r="I57" s="54">
        <f t="shared" si="17"/>
        <v>960</v>
      </c>
    </row>
    <row r="58" spans="2:10" x14ac:dyDescent="0.25">
      <c r="B58" s="70">
        <f t="shared" si="22"/>
        <v>2024</v>
      </c>
      <c r="C58" s="49">
        <f t="shared" si="18"/>
        <v>20000</v>
      </c>
      <c r="D58" s="29">
        <f t="shared" si="19"/>
        <v>0.2</v>
      </c>
      <c r="E58" s="49">
        <f t="shared" si="15"/>
        <v>2000</v>
      </c>
      <c r="F58" s="50">
        <f t="shared" si="16"/>
        <v>18000</v>
      </c>
      <c r="G58" s="49">
        <f t="shared" si="20"/>
        <v>20000</v>
      </c>
      <c r="H58" s="49">
        <f t="shared" si="21"/>
        <v>0</v>
      </c>
      <c r="I58" s="54">
        <f t="shared" si="17"/>
        <v>480</v>
      </c>
    </row>
    <row r="59" spans="2:10" x14ac:dyDescent="0.25">
      <c r="B59" s="70">
        <f t="shared" si="22"/>
        <v>2025</v>
      </c>
      <c r="C59" s="49">
        <f t="shared" si="18"/>
        <v>0</v>
      </c>
      <c r="D59" s="29">
        <f t="shared" si="19"/>
        <v>0.2</v>
      </c>
      <c r="E59" s="49">
        <f t="shared" si="15"/>
        <v>0</v>
      </c>
      <c r="F59" s="50">
        <f t="shared" si="16"/>
        <v>0</v>
      </c>
      <c r="G59" s="49">
        <f>IF(F59=0,E59,F59+E59)</f>
        <v>0</v>
      </c>
      <c r="H59" s="49">
        <f t="shared" si="21"/>
        <v>0</v>
      </c>
      <c r="I59" s="54">
        <f t="shared" si="17"/>
        <v>0</v>
      </c>
    </row>
    <row r="60" spans="2:10" x14ac:dyDescent="0.25">
      <c r="B60" s="70">
        <f t="shared" si="22"/>
        <v>2026</v>
      </c>
      <c r="C60" s="49">
        <f t="shared" si="18"/>
        <v>0</v>
      </c>
      <c r="D60" s="29">
        <f t="shared" si="19"/>
        <v>0.2</v>
      </c>
      <c r="E60" s="49">
        <f>IF(H59&lt;C60*D60,H59,C60*D60)</f>
        <v>0</v>
      </c>
      <c r="F60" s="50">
        <f t="shared" si="16"/>
        <v>0</v>
      </c>
      <c r="G60" s="49">
        <f t="shared" si="20"/>
        <v>0</v>
      </c>
      <c r="H60" s="49">
        <f t="shared" si="21"/>
        <v>0</v>
      </c>
      <c r="I60" s="54">
        <f t="shared" si="17"/>
        <v>0</v>
      </c>
    </row>
    <row r="61" spans="2:10" x14ac:dyDescent="0.25">
      <c r="B61" s="70">
        <f t="shared" si="22"/>
        <v>2027</v>
      </c>
      <c r="C61" s="49">
        <f t="shared" si="18"/>
        <v>0</v>
      </c>
      <c r="D61" s="29">
        <f t="shared" si="19"/>
        <v>0.2</v>
      </c>
      <c r="E61" s="49">
        <f>IF(H60&lt;C61*D61,H44,C61*D61)</f>
        <v>0</v>
      </c>
      <c r="F61" s="50">
        <f t="shared" si="16"/>
        <v>0</v>
      </c>
      <c r="G61" s="49">
        <f t="shared" si="20"/>
        <v>0</v>
      </c>
      <c r="H61" s="49">
        <f t="shared" si="21"/>
        <v>0</v>
      </c>
      <c r="I61" s="54">
        <f t="shared" si="17"/>
        <v>0</v>
      </c>
    </row>
    <row r="62" spans="2:10" x14ac:dyDescent="0.25">
      <c r="B62" s="70">
        <f t="shared" si="22"/>
        <v>2028</v>
      </c>
      <c r="C62" s="49">
        <f t="shared" si="18"/>
        <v>0</v>
      </c>
      <c r="D62" s="29">
        <f t="shared" si="19"/>
        <v>0.2</v>
      </c>
      <c r="E62" s="49">
        <f>IF(H61&lt;C62*D62,H45,C62*D62)</f>
        <v>0</v>
      </c>
      <c r="F62" s="50">
        <f t="shared" si="16"/>
        <v>0</v>
      </c>
      <c r="G62" s="49">
        <f t="shared" si="20"/>
        <v>0</v>
      </c>
      <c r="H62" s="49">
        <f t="shared" si="21"/>
        <v>0</v>
      </c>
      <c r="I62" s="54">
        <f t="shared" si="17"/>
        <v>0</v>
      </c>
    </row>
    <row r="63" spans="2:10" x14ac:dyDescent="0.25">
      <c r="B63" s="70">
        <f t="shared" si="22"/>
        <v>2029</v>
      </c>
      <c r="C63" s="49">
        <f t="shared" si="18"/>
        <v>0</v>
      </c>
      <c r="D63" s="29">
        <f t="shared" si="19"/>
        <v>0.2</v>
      </c>
      <c r="E63" s="49">
        <f>IF(H62&lt;C63*D63,H46,C63*D63)</f>
        <v>0</v>
      </c>
      <c r="F63" s="50">
        <f t="shared" si="16"/>
        <v>0</v>
      </c>
      <c r="G63" s="49">
        <f t="shared" si="20"/>
        <v>0</v>
      </c>
      <c r="H63" s="49">
        <f t="shared" si="21"/>
        <v>0</v>
      </c>
      <c r="I63" s="54">
        <f t="shared" si="17"/>
        <v>0</v>
      </c>
    </row>
    <row r="64" spans="2:10" ht="15.75" thickBot="1" x14ac:dyDescent="0.3">
      <c r="B64" s="71"/>
      <c r="C64" s="72"/>
      <c r="D64" s="73" t="s">
        <v>19</v>
      </c>
      <c r="E64" s="74">
        <f>SUM(E53:E63)</f>
        <v>20000</v>
      </c>
      <c r="F64" s="75"/>
      <c r="G64" s="75"/>
      <c r="H64" s="76" t="s">
        <v>19</v>
      </c>
      <c r="I64" s="77">
        <f>SUM(I53:I63)</f>
        <v>4800</v>
      </c>
    </row>
    <row r="65" spans="1:9" x14ac:dyDescent="0.25">
      <c r="I65" s="31"/>
    </row>
    <row r="66" spans="1:9" ht="48.75" customHeight="1" x14ac:dyDescent="0.25">
      <c r="A66" s="45" t="s">
        <v>24</v>
      </c>
      <c r="B66" s="43">
        <f>(E32-I32)+(I48-I64)</f>
        <v>19200</v>
      </c>
    </row>
    <row r="67" spans="1:9" x14ac:dyDescent="0.25">
      <c r="B67" s="44">
        <f>B66/(I32+I64)</f>
        <v>0.4</v>
      </c>
    </row>
  </sheetData>
  <sheetProtection password="D254" sheet="1" objects="1" scenarios="1" selectLockedCells="1"/>
  <mergeCells count="4">
    <mergeCell ref="F18:I18"/>
    <mergeCell ref="B18:E18"/>
    <mergeCell ref="B34:I34"/>
    <mergeCell ref="B50:I50"/>
  </mergeCells>
  <dataValidations count="1">
    <dataValidation type="list" allowBlank="1" showInputMessage="1" showErrorMessage="1" sqref="B16">
      <formula1>mezza_aliquota_primo_anno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8193" r:id="rId4">
          <objectPr locked="0" defaultSize="0" r:id="rId5">
            <anchor moveWithCells="1">
              <from>
                <xdr:col>0</xdr:col>
                <xdr:colOff>657225</xdr:colOff>
                <xdr:row>22</xdr:row>
                <xdr:rowOff>171450</xdr:rowOff>
              </from>
              <to>
                <xdr:col>0</xdr:col>
                <xdr:colOff>1571625</xdr:colOff>
                <xdr:row>26</xdr:row>
                <xdr:rowOff>95250</xdr:rowOff>
              </to>
            </anchor>
          </objectPr>
        </oleObject>
      </mc:Choice>
      <mc:Fallback>
        <oleObject progId="AcroExch.Document.DC" dvAspect="DVASPECT_ICON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13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Iper ammTo Acquisto (250%)</vt:lpstr>
      <vt:lpstr>Iper ammTo Leasing (250%)</vt:lpstr>
      <vt:lpstr>SuperAll_B Acquisto(140%) </vt:lpstr>
      <vt:lpstr>SuperAll_B Leasing (140%) </vt:lpstr>
      <vt:lpstr>Elenchi</vt:lpstr>
      <vt:lpstr>'Iper ammTo Acquisto (250%)'!Area_stampa</vt:lpstr>
      <vt:lpstr>'Iper ammTo Leasing (250%)'!Area_stampa</vt:lpstr>
      <vt:lpstr>'SuperAll_B Acquisto(140%) '!Area_stampa</vt:lpstr>
      <vt:lpstr>'SuperAll_B Leasing (140%) '!Area_stampa</vt:lpstr>
      <vt:lpstr>mezza_aliquota_primo_anno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De Candia</dc:creator>
  <cp:lastModifiedBy>Loletti Stefania</cp:lastModifiedBy>
  <dcterms:created xsi:type="dcterms:W3CDTF">2016-12-28T08:44:34Z</dcterms:created>
  <dcterms:modified xsi:type="dcterms:W3CDTF">2017-03-02T12:03:55Z</dcterms:modified>
</cp:coreProperties>
</file>